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  <Override PartName="/xl/embeddings/oleObject_3_22.bin" ContentType="application/vnd.openxmlformats-officedocument.oleObject"/>
  <Override PartName="/xl/embeddings/oleObject_3_23.bin" ContentType="application/vnd.openxmlformats-officedocument.oleObject"/>
  <Override PartName="/xl/embeddings/oleObject_3_24.bin" ContentType="application/vnd.openxmlformats-officedocument.oleObject"/>
  <Override PartName="/xl/embeddings/oleObject_3_25.bin" ContentType="application/vnd.openxmlformats-officedocument.oleObject"/>
  <Override PartName="/xl/embeddings/oleObject_3_26.bin" ContentType="application/vnd.openxmlformats-officedocument.oleObject"/>
  <Override PartName="/xl/embeddings/oleObject_3_27.bin" ContentType="application/vnd.openxmlformats-officedocument.oleObject"/>
  <Override PartName="/xl/embeddings/oleObject_3_28.bin" ContentType="application/vnd.openxmlformats-officedocument.oleObject"/>
  <Override PartName="/xl/embeddings/oleObject_3_29.bin" ContentType="application/vnd.openxmlformats-officedocument.oleObject"/>
  <Override PartName="/xl/embeddings/oleObject_3_30.bin" ContentType="application/vnd.openxmlformats-officedocument.oleObject"/>
  <Override PartName="/xl/embeddings/oleObject_3_31.bin" ContentType="application/vnd.openxmlformats-officedocument.oleObject"/>
  <Override PartName="/xl/embeddings/oleObject_3_32.bin" ContentType="application/vnd.openxmlformats-officedocument.oleObject"/>
  <Override PartName="/xl/embeddings/oleObject_3_33.bin" ContentType="application/vnd.openxmlformats-officedocument.oleObject"/>
  <Override PartName="/xl/embeddings/oleObject_3_34.bin" ContentType="application/vnd.openxmlformats-officedocument.oleObject"/>
  <Override PartName="/xl/embeddings/oleObject_3_35.bin" ContentType="application/vnd.openxmlformats-officedocument.oleObject"/>
  <Override PartName="/xl/embeddings/oleObject_3_36.bin" ContentType="application/vnd.openxmlformats-officedocument.oleObject"/>
  <Override PartName="/xl/embeddings/oleObject_3_37.bin" ContentType="application/vnd.openxmlformats-officedocument.oleObject"/>
  <Override PartName="/xl/embeddings/oleObject_3_38.bin" ContentType="application/vnd.openxmlformats-officedocument.oleObject"/>
  <Override PartName="/xl/embeddings/oleObject_3_39.bin" ContentType="application/vnd.openxmlformats-officedocument.oleObject"/>
  <Override PartName="/xl/embeddings/oleObject_3_40.bin" ContentType="application/vnd.openxmlformats-officedocument.oleObject"/>
  <Override PartName="/xl/embeddings/oleObject_3_41.bin" ContentType="application/vnd.openxmlformats-officedocument.oleObject"/>
  <Override PartName="/xl/embeddings/oleObject_3_42.bin" ContentType="application/vnd.openxmlformats-officedocument.oleObject"/>
  <Override PartName="/xl/embeddings/oleObject_3_43.bin" ContentType="application/vnd.openxmlformats-officedocument.oleObject"/>
  <Override PartName="/xl/embeddings/oleObject_3_44.bin" ContentType="application/vnd.openxmlformats-officedocument.oleObject"/>
  <Override PartName="/xl/embeddings/oleObject_3_45.bin" ContentType="application/vnd.openxmlformats-officedocument.oleObject"/>
  <Override PartName="/xl/embeddings/oleObject_3_46.bin" ContentType="application/vnd.openxmlformats-officedocument.oleObject"/>
  <Override PartName="/xl/embeddings/oleObject_3_47.bin" ContentType="application/vnd.openxmlformats-officedocument.oleObject"/>
  <Override PartName="/xl/embeddings/oleObject_3_48.bin" ContentType="application/vnd.openxmlformats-officedocument.oleObject"/>
  <Override PartName="/xl/embeddings/oleObject_3_49.bin" ContentType="application/vnd.openxmlformats-officedocument.oleObject"/>
  <Override PartName="/xl/embeddings/oleObject_3_50.bin" ContentType="application/vnd.openxmlformats-officedocument.oleObject"/>
  <Override PartName="/xl/embeddings/oleObject_3_51.bin" ContentType="application/vnd.openxmlformats-officedocument.oleObject"/>
  <Override PartName="/xl/embeddings/oleObject_3_52.bin" ContentType="application/vnd.openxmlformats-officedocument.oleObject"/>
  <Override PartName="/xl/embeddings/oleObject_3_53.bin" ContentType="application/vnd.openxmlformats-officedocument.oleObject"/>
  <Override PartName="/xl/embeddings/oleObject_3_54.bin" ContentType="application/vnd.openxmlformats-officedocument.oleObject"/>
  <Override PartName="/xl/embeddings/oleObject_3_55.bin" ContentType="application/vnd.openxmlformats-officedocument.oleObject"/>
  <Override PartName="/xl/embeddings/oleObject_3_56.bin" ContentType="application/vnd.openxmlformats-officedocument.oleObject"/>
  <Override PartName="/xl/embeddings/oleObject_3_57.bin" ContentType="application/vnd.openxmlformats-officedocument.oleObject"/>
  <Override PartName="/xl/embeddings/oleObject_3_58.bin" ContentType="application/vnd.openxmlformats-officedocument.oleObject"/>
  <Override PartName="/xl/embeddings/oleObject_3_59.bin" ContentType="application/vnd.openxmlformats-officedocument.oleObject"/>
  <Override PartName="/xl/embeddings/oleObject_3_60.bin" ContentType="application/vnd.openxmlformats-officedocument.oleObject"/>
  <Override PartName="/xl/embeddings/oleObject_3_61.bin" ContentType="application/vnd.openxmlformats-officedocument.oleObject"/>
  <Override PartName="/xl/embeddings/oleObject_3_62.bin" ContentType="application/vnd.openxmlformats-officedocument.oleObject"/>
  <Override PartName="/xl/embeddings/oleObject_3_63.bin" ContentType="application/vnd.openxmlformats-officedocument.oleObject"/>
  <Override PartName="/xl/embeddings/oleObject_3_64.bin" ContentType="application/vnd.openxmlformats-officedocument.oleObject"/>
  <Override PartName="/xl/embeddings/oleObject_3_65.bin" ContentType="application/vnd.openxmlformats-officedocument.oleObject"/>
  <Override PartName="/xl/embeddings/oleObject_3_66.bin" ContentType="application/vnd.openxmlformats-officedocument.oleObject"/>
  <Override PartName="/xl/embeddings/oleObject_3_67.bin" ContentType="application/vnd.openxmlformats-officedocument.oleObject"/>
  <Override PartName="/xl/embeddings/oleObject_3_68.bin" ContentType="application/vnd.openxmlformats-officedocument.oleObject"/>
  <Override PartName="/xl/embeddings/oleObject_3_69.bin" ContentType="application/vnd.openxmlformats-officedocument.oleObject"/>
  <Override PartName="/xl/embeddings/oleObject_3_70.bin" ContentType="application/vnd.openxmlformats-officedocument.oleObject"/>
  <Override PartName="/xl/embeddings/oleObject_3_71.bin" ContentType="application/vnd.openxmlformats-officedocument.oleObject"/>
  <Override PartName="/xl/embeddings/oleObject_3_72.bin" ContentType="application/vnd.openxmlformats-officedocument.oleObject"/>
  <Override PartName="/xl/embeddings/oleObject_3_73.bin" ContentType="application/vnd.openxmlformats-officedocument.oleObject"/>
  <Override PartName="/xl/embeddings/oleObject_3_74.bin" ContentType="application/vnd.openxmlformats-officedocument.oleObject"/>
  <Override PartName="/xl/embeddings/oleObject_3_75.bin" ContentType="application/vnd.openxmlformats-officedocument.oleObject"/>
  <Override PartName="/xl/embeddings/oleObject_3_76.bin" ContentType="application/vnd.openxmlformats-officedocument.oleObject"/>
  <Override PartName="/xl/embeddings/oleObject_3_77.bin" ContentType="application/vnd.openxmlformats-officedocument.oleObject"/>
  <Override PartName="/xl/embeddings/oleObject_3_78.bin" ContentType="application/vnd.openxmlformats-officedocument.oleObject"/>
  <Override PartName="/xl/embeddings/oleObject_3_79.bin" ContentType="application/vnd.openxmlformats-officedocument.oleObject"/>
  <Override PartName="/xl/embeddings/oleObject_3_80.bin" ContentType="application/vnd.openxmlformats-officedocument.oleObject"/>
  <Override PartName="/xl/embeddings/oleObject_3_81.bin" ContentType="application/vnd.openxmlformats-officedocument.oleObject"/>
  <Override PartName="/xl/embeddings/oleObject_3_82.bin" ContentType="application/vnd.openxmlformats-officedocument.oleObject"/>
  <Override PartName="/xl/embeddings/oleObject_3_83.bin" ContentType="application/vnd.openxmlformats-officedocument.oleObject"/>
  <Override PartName="/xl/embeddings/oleObject_3_84.bin" ContentType="application/vnd.openxmlformats-officedocument.oleObject"/>
  <Override PartName="/xl/embeddings/oleObject_3_85.bin" ContentType="application/vnd.openxmlformats-officedocument.oleObject"/>
  <Override PartName="/xl/embeddings/oleObject_3_86.bin" ContentType="application/vnd.openxmlformats-officedocument.oleObject"/>
  <Override PartName="/xl/embeddings/oleObject_3_87.bin" ContentType="application/vnd.openxmlformats-officedocument.oleObject"/>
  <Override PartName="/xl/embeddings/oleObject_3_88.bin" ContentType="application/vnd.openxmlformats-officedocument.oleObject"/>
  <Override PartName="/xl/embeddings/oleObject_3_89.bin" ContentType="application/vnd.openxmlformats-officedocument.oleObject"/>
  <Override PartName="/xl/embeddings/oleObject_3_90.bin" ContentType="application/vnd.openxmlformats-officedocument.oleObject"/>
  <Override PartName="/xl/embeddings/oleObject_3_91.bin" ContentType="application/vnd.openxmlformats-officedocument.oleObject"/>
  <Override PartName="/xl/embeddings/oleObject_3_92.bin" ContentType="application/vnd.openxmlformats-officedocument.oleObject"/>
  <Override PartName="/xl/embeddings/oleObject_3_93.bin" ContentType="application/vnd.openxmlformats-officedocument.oleObject"/>
  <Override PartName="/xl/embeddings/oleObject_3_94.bin" ContentType="application/vnd.openxmlformats-officedocument.oleObject"/>
  <Override PartName="/xl/embeddings/oleObject_3_95.bin" ContentType="application/vnd.openxmlformats-officedocument.oleObject"/>
  <Override PartName="/xl/embeddings/oleObject_3_96.bin" ContentType="application/vnd.openxmlformats-officedocument.oleObject"/>
  <Override PartName="/xl/embeddings/oleObject_3_97.bin" ContentType="application/vnd.openxmlformats-officedocument.oleObject"/>
  <Override PartName="/xl/embeddings/oleObject_3_98.bin" ContentType="application/vnd.openxmlformats-officedocument.oleObject"/>
  <Override PartName="/xl/embeddings/oleObject_3_99.bin" ContentType="application/vnd.openxmlformats-officedocument.oleObject"/>
  <Override PartName="/xl/embeddings/oleObject_3_100.bin" ContentType="application/vnd.openxmlformats-officedocument.oleObject"/>
  <Override PartName="/xl/embeddings/oleObject_3_101.bin" ContentType="application/vnd.openxmlformats-officedocument.oleObject"/>
  <Override PartName="/xl/embeddings/oleObject_3_102.bin" ContentType="application/vnd.openxmlformats-officedocument.oleObject"/>
  <Override PartName="/xl/embeddings/oleObject_3_103.bin" ContentType="application/vnd.openxmlformats-officedocument.oleObject"/>
  <Override PartName="/xl/embeddings/oleObject_3_104.bin" ContentType="application/vnd.openxmlformats-officedocument.oleObject"/>
  <Override PartName="/xl/embeddings/oleObject_3_105.bin" ContentType="application/vnd.openxmlformats-officedocument.oleObject"/>
  <Override PartName="/xl/embeddings/oleObject_3_106.bin" ContentType="application/vnd.openxmlformats-officedocument.oleObject"/>
  <Override PartName="/xl/embeddings/oleObject_3_107.bin" ContentType="application/vnd.openxmlformats-officedocument.oleObject"/>
  <Override PartName="/xl/embeddings/oleObject_3_108.bin" ContentType="application/vnd.openxmlformats-officedocument.oleObject"/>
  <Override PartName="/xl/embeddings/oleObject_3_109.bin" ContentType="application/vnd.openxmlformats-officedocument.oleObject"/>
  <Override PartName="/xl/embeddings/oleObject_3_110.bin" ContentType="application/vnd.openxmlformats-officedocument.oleObject"/>
  <Override PartName="/xl/embeddings/oleObject_3_111.bin" ContentType="application/vnd.openxmlformats-officedocument.oleObject"/>
  <Override PartName="/xl/embeddings/oleObject_3_112.bin" ContentType="application/vnd.openxmlformats-officedocument.oleObject"/>
  <Override PartName="/xl/embeddings/oleObject_3_113.bin" ContentType="application/vnd.openxmlformats-officedocument.oleObject"/>
  <Override PartName="/xl/embeddings/oleObject_3_114.bin" ContentType="application/vnd.openxmlformats-officedocument.oleObject"/>
  <Override PartName="/xl/embeddings/oleObject_3_115.bin" ContentType="application/vnd.openxmlformats-officedocument.oleObject"/>
  <Override PartName="/xl/embeddings/oleObject_3_116.bin" ContentType="application/vnd.openxmlformats-officedocument.oleObject"/>
  <Override PartName="/xl/embeddings/oleObject_3_117.bin" ContentType="application/vnd.openxmlformats-officedocument.oleObject"/>
  <Override PartName="/xl/embeddings/oleObject_3_118.bin" ContentType="application/vnd.openxmlformats-officedocument.oleObject"/>
  <Override PartName="/xl/embeddings/oleObject_3_119.bin" ContentType="application/vnd.openxmlformats-officedocument.oleObject"/>
  <Override PartName="/xl/embeddings/oleObject_3_120.bin" ContentType="application/vnd.openxmlformats-officedocument.oleObject"/>
  <Override PartName="/xl/embeddings/oleObject_3_121.bin" ContentType="application/vnd.openxmlformats-officedocument.oleObject"/>
  <Override PartName="/xl/embeddings/oleObject_3_122.bin" ContentType="application/vnd.openxmlformats-officedocument.oleObject"/>
  <Override PartName="/xl/embeddings/oleObject_3_123.bin" ContentType="application/vnd.openxmlformats-officedocument.oleObject"/>
  <Override PartName="/xl/embeddings/oleObject_3_124.bin" ContentType="application/vnd.openxmlformats-officedocument.oleObject"/>
  <Override PartName="/xl/embeddings/oleObject_3_125.bin" ContentType="application/vnd.openxmlformats-officedocument.oleObject"/>
  <Override PartName="/xl/embeddings/oleObject_3_126.bin" ContentType="application/vnd.openxmlformats-officedocument.oleObject"/>
  <Override PartName="/xl/embeddings/oleObject_3_127.bin" ContentType="application/vnd.openxmlformats-officedocument.oleObject"/>
  <Override PartName="/xl/embeddings/oleObject_3_128.bin" ContentType="application/vnd.openxmlformats-officedocument.oleObject"/>
  <Override PartName="/xl/embeddings/oleObject_3_129.bin" ContentType="application/vnd.openxmlformats-officedocument.oleObject"/>
  <Override PartName="/xl/embeddings/oleObject_3_130.bin" ContentType="application/vnd.openxmlformats-officedocument.oleObject"/>
  <Override PartName="/xl/embeddings/oleObject_3_13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  <Override PartName="/xl/embeddings/oleObject_4_17.bin" ContentType="application/vnd.openxmlformats-officedocument.oleObject"/>
  <Override PartName="/xl/embeddings/oleObject_4_18.bin" ContentType="application/vnd.openxmlformats-officedocument.oleObject"/>
  <Override PartName="/xl/embeddings/oleObject_4_19.bin" ContentType="application/vnd.openxmlformats-officedocument.oleObject"/>
  <Override PartName="/xl/embeddings/oleObject_4_20.bin" ContentType="application/vnd.openxmlformats-officedocument.oleObject"/>
  <Override PartName="/xl/embeddings/oleObject_4_21.bin" ContentType="application/vnd.openxmlformats-officedocument.oleObject"/>
  <Override PartName="/xl/embeddings/oleObject_4_22.bin" ContentType="application/vnd.openxmlformats-officedocument.oleObject"/>
  <Override PartName="/xl/embeddings/oleObject_4_23.bin" ContentType="application/vnd.openxmlformats-officedocument.oleObject"/>
  <Override PartName="/xl/embeddings/oleObject_4_24.bin" ContentType="application/vnd.openxmlformats-officedocument.oleObject"/>
  <Override PartName="/xl/embeddings/oleObject_4_25.bin" ContentType="application/vnd.openxmlformats-officedocument.oleObject"/>
  <Override PartName="/xl/embeddings/oleObject_4_26.bin" ContentType="application/vnd.openxmlformats-officedocument.oleObject"/>
  <Override PartName="/xl/embeddings/oleObject_4_27.bin" ContentType="application/vnd.openxmlformats-officedocument.oleObject"/>
  <Override PartName="/xl/embeddings/oleObject_4_28.bin" ContentType="application/vnd.openxmlformats-officedocument.oleObject"/>
  <Override PartName="/xl/embeddings/oleObject_4_29.bin" ContentType="application/vnd.openxmlformats-officedocument.oleObject"/>
  <Override PartName="/xl/embeddings/oleObject_4_30.bin" ContentType="application/vnd.openxmlformats-officedocument.oleObject"/>
  <Override PartName="/xl/embeddings/oleObject_4_31.bin" ContentType="application/vnd.openxmlformats-officedocument.oleObject"/>
  <Override PartName="/xl/embeddings/oleObject_4_32.bin" ContentType="application/vnd.openxmlformats-officedocument.oleObject"/>
  <Override PartName="/xl/embeddings/oleObject_4_33.bin" ContentType="application/vnd.openxmlformats-officedocument.oleObject"/>
  <Override PartName="/xl/embeddings/oleObject_4_3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2285" windowHeight="8070" activeTab="5"/>
  </bookViews>
  <sheets>
    <sheet name="Laborwerte" sheetId="1" r:id="rId1"/>
    <sheet name="Konstanten" sheetId="2" r:id="rId2"/>
    <sheet name="Laborwerte (Einheiten)" sheetId="3" r:id="rId3"/>
    <sheet name="Auswertung" sheetId="4" r:id="rId4"/>
    <sheet name="Rechenwerte" sheetId="5" r:id="rId5"/>
    <sheet name="Tabelle1" sheetId="6" r:id="rId6"/>
    <sheet name="Diagramme" sheetId="7" r:id="rId7"/>
  </sheets>
  <definedNames>
    <definedName name="_xlnm.Print_Area" localSheetId="3">'Auswertung'!$A$1:$AW$41</definedName>
  </definedNames>
  <calcPr fullCalcOnLoad="1"/>
</workbook>
</file>

<file path=xl/sharedStrings.xml><?xml version="1.0" encoding="utf-8"?>
<sst xmlns="http://schemas.openxmlformats.org/spreadsheetml/2006/main" count="356" uniqueCount="92">
  <si>
    <t>Bez.</t>
  </si>
  <si>
    <t>n</t>
  </si>
  <si>
    <t>Schieber</t>
  </si>
  <si>
    <t>Stellung</t>
  </si>
  <si>
    <t>zu</t>
  </si>
  <si>
    <t>Dim.</t>
  </si>
  <si>
    <t>m bar</t>
  </si>
  <si>
    <t>° C</t>
  </si>
  <si>
    <t>kp</t>
  </si>
  <si>
    <t>F</t>
  </si>
  <si>
    <t>auf</t>
  </si>
  <si>
    <t>%</t>
  </si>
  <si>
    <t>Bezeichnung</t>
  </si>
  <si>
    <t>Wert</t>
  </si>
  <si>
    <t>Einheit</t>
  </si>
  <si>
    <t>Zeichen</t>
  </si>
  <si>
    <t>Pa</t>
  </si>
  <si>
    <t>N</t>
  </si>
  <si>
    <t>K</t>
  </si>
  <si>
    <t>J/kg*K</t>
  </si>
  <si>
    <t>spez. Gaskonstante Luft</t>
  </si>
  <si>
    <t>kg/m³</t>
  </si>
  <si>
    <t>Durchflusszahl Einlaufdüse</t>
  </si>
  <si>
    <t>Durchmesser Einlaufdüse</t>
  </si>
  <si>
    <t>D</t>
  </si>
  <si>
    <t>m</t>
  </si>
  <si>
    <t>Breite Ausgleichsstrecke</t>
  </si>
  <si>
    <t>b</t>
  </si>
  <si>
    <t>Länge Ausgleichsstrecke</t>
  </si>
  <si>
    <t>d</t>
  </si>
  <si>
    <t>m³/s</t>
  </si>
  <si>
    <t>m/s</t>
  </si>
  <si>
    <t>Fläche Saugrohr</t>
  </si>
  <si>
    <t>Fläche Druckrohr</t>
  </si>
  <si>
    <t>m²</t>
  </si>
  <si>
    <t>kg/s</t>
  </si>
  <si>
    <t>M</t>
  </si>
  <si>
    <t>Nm</t>
  </si>
  <si>
    <t>Hebelarm Motor</t>
  </si>
  <si>
    <t>a</t>
  </si>
  <si>
    <t>W</t>
  </si>
  <si>
    <t>äuq. Hydr. Durchmesser</t>
  </si>
  <si>
    <t>m²/s²</t>
  </si>
  <si>
    <t>n = 2700</t>
  </si>
  <si>
    <t>Nm/kg</t>
  </si>
  <si>
    <t>Radialventilator</t>
  </si>
  <si>
    <t>W = 0,75</t>
  </si>
  <si>
    <t>X</t>
  </si>
  <si>
    <t>Y</t>
  </si>
  <si>
    <t>W = 0,7</t>
  </si>
  <si>
    <t>W = 0,65</t>
  </si>
  <si>
    <t>W = 0,6</t>
  </si>
  <si>
    <t>W = 0,55</t>
  </si>
  <si>
    <t>V1 X</t>
  </si>
  <si>
    <t>V1 Y</t>
  </si>
  <si>
    <t>V2 X</t>
  </si>
  <si>
    <t>V2 Y</t>
  </si>
  <si>
    <t>D X</t>
  </si>
  <si>
    <t>V3 X</t>
  </si>
  <si>
    <t>V3 Y</t>
  </si>
  <si>
    <t>V4 X</t>
  </si>
  <si>
    <t>V4 Y</t>
  </si>
  <si>
    <t>D Y</t>
  </si>
  <si>
    <t>DaX</t>
  </si>
  <si>
    <t>DbX</t>
  </si>
  <si>
    <t>mm WS</t>
  </si>
  <si>
    <t>mbar</t>
  </si>
  <si>
    <t>mmWS</t>
  </si>
  <si>
    <t>Umrechnung mmWS - Pa</t>
  </si>
  <si>
    <t>n = 2550</t>
  </si>
  <si>
    <t>n = 2400</t>
  </si>
  <si>
    <t>volumenstr</t>
  </si>
  <si>
    <t>yt</t>
  </si>
  <si>
    <r>
      <t>h</t>
    </r>
    <r>
      <rPr>
        <sz val="10"/>
        <rFont val="Arial"/>
        <family val="0"/>
      </rPr>
      <t xml:space="preserve"> = 0,55</t>
    </r>
  </si>
  <si>
    <r>
      <t>h</t>
    </r>
    <r>
      <rPr>
        <sz val="10"/>
        <rFont val="Arial"/>
        <family val="0"/>
      </rPr>
      <t xml:space="preserve"> = 0,60</t>
    </r>
  </si>
  <si>
    <r>
      <t>h</t>
    </r>
    <r>
      <rPr>
        <sz val="10"/>
        <rFont val="Arial"/>
        <family val="0"/>
      </rPr>
      <t xml:space="preserve"> = 0,65</t>
    </r>
  </si>
  <si>
    <r>
      <t>h</t>
    </r>
    <r>
      <rPr>
        <sz val="10"/>
        <rFont val="Arial"/>
        <family val="0"/>
      </rPr>
      <t xml:space="preserve"> = 0,70</t>
    </r>
  </si>
  <si>
    <r>
      <t>h</t>
    </r>
    <r>
      <rPr>
        <sz val="10"/>
        <rFont val="Arial"/>
        <family val="0"/>
      </rPr>
      <t xml:space="preserve"> = 0,75</t>
    </r>
  </si>
  <si>
    <t>V</t>
  </si>
  <si>
    <r>
      <t>Y</t>
    </r>
    <r>
      <rPr>
        <sz val="8"/>
        <rFont val="Arial"/>
        <family val="2"/>
      </rPr>
      <t>t</t>
    </r>
  </si>
  <si>
    <r>
      <t>h</t>
    </r>
    <r>
      <rPr>
        <sz val="10"/>
        <color indexed="9"/>
        <rFont val="Arial"/>
        <family val="0"/>
      </rPr>
      <t xml:space="preserve"> = 0,55</t>
    </r>
  </si>
  <si>
    <r>
      <t>h</t>
    </r>
    <r>
      <rPr>
        <sz val="10"/>
        <color indexed="9"/>
        <rFont val="Arial"/>
        <family val="0"/>
      </rPr>
      <t xml:space="preserve"> = 0,60</t>
    </r>
  </si>
  <si>
    <r>
      <t>h</t>
    </r>
    <r>
      <rPr>
        <sz val="10"/>
        <color indexed="9"/>
        <rFont val="Arial"/>
        <family val="0"/>
      </rPr>
      <t xml:space="preserve"> = 0,65</t>
    </r>
  </si>
  <si>
    <r>
      <t>h</t>
    </r>
    <r>
      <rPr>
        <sz val="10"/>
        <color indexed="9"/>
        <rFont val="Arial"/>
        <family val="0"/>
      </rPr>
      <t xml:space="preserve"> = 0,70</t>
    </r>
  </si>
  <si>
    <r>
      <t>h</t>
    </r>
    <r>
      <rPr>
        <sz val="10"/>
        <color indexed="9"/>
        <rFont val="Arial"/>
        <family val="0"/>
      </rPr>
      <t xml:space="preserve"> = 0,75</t>
    </r>
  </si>
  <si>
    <t>Yt</t>
  </si>
  <si>
    <r>
      <t>h</t>
    </r>
    <r>
      <rPr>
        <sz val="10"/>
        <rFont val="Arial"/>
        <family val="0"/>
      </rPr>
      <t xml:space="preserve"> = 0,60</t>
    </r>
  </si>
  <si>
    <r>
      <t>Y</t>
    </r>
    <r>
      <rPr>
        <sz val="10"/>
        <rFont val="Arial"/>
        <family val="2"/>
      </rPr>
      <t>t</t>
    </r>
  </si>
  <si>
    <r>
      <t>h</t>
    </r>
    <r>
      <rPr>
        <sz val="10"/>
        <rFont val="Arial"/>
        <family val="0"/>
      </rPr>
      <t xml:space="preserve"> = 0,55</t>
    </r>
  </si>
  <si>
    <r>
      <t>h</t>
    </r>
    <r>
      <rPr>
        <sz val="10"/>
        <rFont val="Arial"/>
        <family val="0"/>
      </rPr>
      <t xml:space="preserve"> = 0,65</t>
    </r>
  </si>
  <si>
    <r>
      <t>h</t>
    </r>
    <r>
      <rPr>
        <sz val="10"/>
        <rFont val="Arial"/>
        <family val="0"/>
      </rPr>
      <t xml:space="preserve"> = 0,70</t>
    </r>
  </si>
  <si>
    <r>
      <t>h</t>
    </r>
    <r>
      <rPr>
        <sz val="10"/>
        <rFont val="Arial"/>
        <family val="0"/>
      </rPr>
      <t xml:space="preserve"> = 0,75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</si>
</sst>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E+00"/>
    <numFmt numFmtId="178" formatCode="0.000E+00"/>
    <numFmt numFmtId="179" formatCode="0.0E+00"/>
    <numFmt numFmtId="180" formatCode="0E+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22.75"/>
      <name val="Arial"/>
      <family val="0"/>
    </font>
    <font>
      <sz val="28.75"/>
      <name val="Arial"/>
      <family val="0"/>
    </font>
    <font>
      <sz val="27"/>
      <name val="Arial"/>
      <family val="0"/>
    </font>
    <font>
      <b/>
      <sz val="9.5"/>
      <name val="Arial"/>
      <family val="2"/>
    </font>
    <font>
      <b/>
      <sz val="15.25"/>
      <name val="Arial"/>
      <family val="2"/>
    </font>
    <font>
      <b/>
      <sz val="15.5"/>
      <name val="Arial"/>
      <family val="2"/>
    </font>
    <font>
      <b/>
      <sz val="9.75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4.5"/>
      <name val="Arial"/>
      <family val="0"/>
    </font>
    <font>
      <sz val="10"/>
      <name val="Symbol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.5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9"/>
      <name val="Symbol"/>
      <family val="1"/>
    </font>
    <font>
      <b/>
      <sz val="12"/>
      <name val="Arial"/>
      <family val="2"/>
    </font>
    <font>
      <sz val="14.75"/>
      <name val="Arial"/>
      <family val="0"/>
    </font>
    <font>
      <sz val="11"/>
      <name val="Arial"/>
      <family val="2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38"/>
      </patternFill>
    </fill>
    <fill>
      <patternFill patternType="darkGray">
        <fgColor indexed="9"/>
        <bgColor indexed="10"/>
      </patternFill>
    </fill>
    <fill>
      <patternFill patternType="darkGray">
        <fgColor indexed="9"/>
        <bgColor indexed="1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0" fillId="0" borderId="0" xfId="0" applyNumberFormat="1" applyAlignment="1">
      <alignment horizontal="right"/>
    </xf>
    <xf numFmtId="1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73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178" fontId="3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173" fontId="3" fillId="0" borderId="2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173" fontId="0" fillId="2" borderId="1" xfId="0" applyNumberFormat="1" applyFont="1" applyFill="1" applyBorder="1" applyAlignment="1">
      <alignment/>
    </xf>
    <xf numFmtId="173" fontId="0" fillId="3" borderId="1" xfId="0" applyNumberFormat="1" applyFill="1" applyBorder="1" applyAlignment="1">
      <alignment/>
    </xf>
    <xf numFmtId="173" fontId="0" fillId="4" borderId="1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Diagramm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2"/>
          <c:w val="0.8065"/>
          <c:h val="0.7675"/>
        </c:manualLayout>
      </c:layout>
      <c:scatterChart>
        <c:scatterStyle val="smooth"/>
        <c:varyColors val="0"/>
        <c:ser>
          <c:idx val="0"/>
          <c:order val="0"/>
          <c:tx>
            <c:strRef>
              <c:f>Rechenwerte!$A$5</c:f>
              <c:strCache>
                <c:ptCount val="1"/>
                <c:pt idx="0">
                  <c:v>n = 2700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Rechenwerte!$D$9:$D$19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0.1451676033506878</c:v>
                </c:pt>
                <c:pt idx="3">
                  <c:v>0.23133659984401334</c:v>
                </c:pt>
                <c:pt idx="4">
                  <c:v>0.34890376037221704</c:v>
                </c:pt>
                <c:pt idx="5">
                  <c:v>0.47530061338588553</c:v>
                </c:pt>
                <c:pt idx="6">
                  <c:v>0.6571234829204617</c:v>
                </c:pt>
                <c:pt idx="7">
                  <c:v>0.8656045621977736</c:v>
                </c:pt>
                <c:pt idx="8">
                  <c:v>1.092068459712121</c:v>
                </c:pt>
                <c:pt idx="9">
                  <c:v>1.3314245270131804</c:v>
                </c:pt>
                <c:pt idx="10">
                  <c:v>1.4924021180300207</c:v>
                </c:pt>
              </c:numCache>
            </c:numRef>
          </c:xVal>
          <c:yVal>
            <c:numRef>
              <c:f>Rechenwerte!$I$9:$I$19</c:f>
              <c:numCache>
                <c:ptCount val="11"/>
                <c:pt idx="0">
                  <c:v>4590.632986224172</c:v>
                </c:pt>
                <c:pt idx="1">
                  <c:v>4655.773216166195</c:v>
                </c:pt>
                <c:pt idx="2">
                  <c:v>4757.762750609372</c:v>
                </c:pt>
                <c:pt idx="3">
                  <c:v>4843.34146248697</c:v>
                </c:pt>
                <c:pt idx="4">
                  <c:v>4916.591585372846</c:v>
                </c:pt>
                <c:pt idx="5">
                  <c:v>4923.656031062283</c:v>
                </c:pt>
                <c:pt idx="6">
                  <c:v>4819.660586862864</c:v>
                </c:pt>
                <c:pt idx="7">
                  <c:v>4384.7288427784515</c:v>
                </c:pt>
                <c:pt idx="8">
                  <c:v>3638.7714786129286</c:v>
                </c:pt>
                <c:pt idx="9">
                  <c:v>2663.981507485931</c:v>
                </c:pt>
                <c:pt idx="10">
                  <c:v>1663.9632682184988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Rechenwerte!$A$21</c:f>
              <c:strCache>
                <c:ptCount val="1"/>
                <c:pt idx="0">
                  <c:v>n = 2550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Rechenwerte!$D$25:$D$35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0.12731648176163</c:v>
                </c:pt>
                <c:pt idx="3">
                  <c:v>0.21685453426569254</c:v>
                </c:pt>
                <c:pt idx="4">
                  <c:v>0.32974382975874345</c:v>
                </c:pt>
                <c:pt idx="5">
                  <c:v>0.4524683018017783</c:v>
                </c:pt>
                <c:pt idx="6">
                  <c:v>0.6146396287005711</c:v>
                </c:pt>
                <c:pt idx="7">
                  <c:v>0.8165698479447044</c:v>
                </c:pt>
                <c:pt idx="8">
                  <c:v>1.0267793397215388</c:v>
                </c:pt>
                <c:pt idx="9">
                  <c:v>1.259702353534999</c:v>
                </c:pt>
                <c:pt idx="10">
                  <c:v>1.4088612484493723</c:v>
                </c:pt>
              </c:numCache>
            </c:numRef>
          </c:xVal>
          <c:yVal>
            <c:numRef>
              <c:f>Rechenwerte!$I$25:$I$35</c:f>
              <c:numCache>
                <c:ptCount val="11"/>
                <c:pt idx="0">
                  <c:v>4070.490012906954</c:v>
                </c:pt>
                <c:pt idx="1">
                  <c:v>4152.136622058153</c:v>
                </c:pt>
                <c:pt idx="2">
                  <c:v>4227.176572675978</c:v>
                </c:pt>
                <c:pt idx="3">
                  <c:v>4333.69694495281</c:v>
                </c:pt>
                <c:pt idx="4">
                  <c:v>4377.976642113893</c:v>
                </c:pt>
                <c:pt idx="5">
                  <c:v>4393.618520579246</c:v>
                </c:pt>
                <c:pt idx="6">
                  <c:v>4311.957616887704</c:v>
                </c:pt>
                <c:pt idx="7">
                  <c:v>3916.7416262377183</c:v>
                </c:pt>
                <c:pt idx="8">
                  <c:v>3272.9876570541437</c:v>
                </c:pt>
                <c:pt idx="9">
                  <c:v>2382.62189811202</c:v>
                </c:pt>
                <c:pt idx="10">
                  <c:v>1493.476539043354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Rechenwerte!$A$37</c:f>
              <c:strCache>
                <c:ptCount val="1"/>
                <c:pt idx="0">
                  <c:v>n = 2400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Rechenwerte!$D$41:$D$51</c:f>
              <c:numCache>
                <c:ptCount val="11"/>
                <c:pt idx="0">
                  <c:v>1.2730338645856518E-08</c:v>
                </c:pt>
                <c:pt idx="1">
                  <c:v>0.06972908809667198</c:v>
                </c:pt>
                <c:pt idx="2">
                  <c:v>0.12731648176163</c:v>
                </c:pt>
                <c:pt idx="3">
                  <c:v>0.2013360959709711</c:v>
                </c:pt>
                <c:pt idx="4">
                  <c:v>0.3120208586009158</c:v>
                </c:pt>
                <c:pt idx="5">
                  <c:v>0.42843409270985483</c:v>
                </c:pt>
                <c:pt idx="6">
                  <c:v>0.5874286382901199</c:v>
                </c:pt>
                <c:pt idx="7">
                  <c:v>0.7720002887644504</c:v>
                </c:pt>
                <c:pt idx="8">
                  <c:v>0.9744669941598956</c:v>
                </c:pt>
                <c:pt idx="9">
                  <c:v>1.1818663626541432</c:v>
                </c:pt>
                <c:pt idx="10">
                  <c:v>1.3282416266064168</c:v>
                </c:pt>
              </c:numCache>
            </c:numRef>
          </c:xVal>
          <c:yVal>
            <c:numRef>
              <c:f>Rechenwerte!$I$41:$I$51</c:f>
              <c:numCache>
                <c:ptCount val="11"/>
                <c:pt idx="0">
                  <c:v>3646.8316048752613</c:v>
                </c:pt>
                <c:pt idx="1">
                  <c:v>3710.895903088757</c:v>
                </c:pt>
                <c:pt idx="2">
                  <c:v>3777.051340357866</c:v>
                </c:pt>
                <c:pt idx="3">
                  <c:v>3845.276075085059</c:v>
                </c:pt>
                <c:pt idx="4">
                  <c:v>3898.3143002231773</c:v>
                </c:pt>
                <c:pt idx="5">
                  <c:v>3903.6324057984552</c:v>
                </c:pt>
                <c:pt idx="6">
                  <c:v>3824.287310938353</c:v>
                </c:pt>
                <c:pt idx="7">
                  <c:v>3466.0212867899054</c:v>
                </c:pt>
                <c:pt idx="8">
                  <c:v>2883.658813968278</c:v>
                </c:pt>
                <c:pt idx="9">
                  <c:v>2131.7570419222975</c:v>
                </c:pt>
                <c:pt idx="10">
                  <c:v>1327.610581687561</c:v>
                </c:pt>
              </c:numCache>
            </c:numRef>
          </c:yVal>
          <c:smooth val="1"/>
        </c:ser>
        <c:ser>
          <c:idx val="3"/>
          <c:order val="3"/>
          <c:tx>
            <c:v>W=0,55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Tabelle1!$M$5:$M$10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Tabelle1!$N$5:$N$10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W=0,60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Tabelle1!$O$5:$O$10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Tabelle1!$P$5:$P$10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W=0,65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Tabelle1!$Q$5:$Q$10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Tabelle1!$R$5:$R$10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W=0,70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Tabelle1!$S$5:$S$10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Tabelle1!$T$5:$T$10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W=0,75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Tabelle1!$U$5:$U$10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Tabelle1!$V$5:$V$10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3497883"/>
        <c:axId val="11718900"/>
      </c:scatterChart>
      <c:valAx>
        <c:axId val="53497883"/>
        <c:scaling>
          <c:orientation val="minMax"/>
          <c:min val="0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11718900"/>
        <c:crosses val="autoZero"/>
        <c:crossBetween val="midCat"/>
        <c:dispUnits/>
        <c:majorUnit val="0.1"/>
      </c:valAx>
      <c:valAx>
        <c:axId val="11718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534978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5"/>
          <c:y val="0.2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Diagramm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77"/>
          <c:w val="0.98975"/>
          <c:h val="0.90775"/>
        </c:manualLayout>
      </c:layout>
      <c:scatterChart>
        <c:scatterStyle val="smooth"/>
        <c:varyColors val="0"/>
        <c:ser>
          <c:idx val="0"/>
          <c:order val="0"/>
          <c:tx>
            <c:v>n = 2700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Rechenwerte!$D$9:$D$19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0.1451676033506878</c:v>
                </c:pt>
                <c:pt idx="3">
                  <c:v>0.23133659984401334</c:v>
                </c:pt>
                <c:pt idx="4">
                  <c:v>0.34890376037221704</c:v>
                </c:pt>
                <c:pt idx="5">
                  <c:v>0.47530061338588553</c:v>
                </c:pt>
                <c:pt idx="6">
                  <c:v>0.6571234829204617</c:v>
                </c:pt>
                <c:pt idx="7">
                  <c:v>0.8656045621977736</c:v>
                </c:pt>
                <c:pt idx="8">
                  <c:v>1.092068459712121</c:v>
                </c:pt>
                <c:pt idx="9">
                  <c:v>1.3314245270131804</c:v>
                </c:pt>
                <c:pt idx="10">
                  <c:v>1.4924021180300207</c:v>
                </c:pt>
              </c:numCache>
            </c:numRef>
          </c:xVal>
          <c:yVal>
            <c:numRef>
              <c:f>Rechenwerte!$L$9:$L$19</c:f>
              <c:numCache>
                <c:ptCount val="11"/>
                <c:pt idx="0">
                  <c:v>5.793702710002394E-06</c:v>
                </c:pt>
                <c:pt idx="1">
                  <c:v>27.46802176648228</c:v>
                </c:pt>
                <c:pt idx="2">
                  <c:v>40.98183831122631</c:v>
                </c:pt>
                <c:pt idx="3">
                  <c:v>52.43715421836348</c:v>
                </c:pt>
                <c:pt idx="4">
                  <c:v>62.262305754817646</c:v>
                </c:pt>
                <c:pt idx="5">
                  <c:v>68.85902624342673</c:v>
                </c:pt>
                <c:pt idx="6">
                  <c:v>74.98403293608771</c:v>
                </c:pt>
                <c:pt idx="7">
                  <c:v>73.19521611346279</c:v>
                </c:pt>
                <c:pt idx="8">
                  <c:v>64.68575360362955</c:v>
                </c:pt>
                <c:pt idx="9">
                  <c:v>48.8853456269453</c:v>
                </c:pt>
                <c:pt idx="10">
                  <c:v>31.5300822979933</c:v>
                </c:pt>
              </c:numCache>
            </c:numRef>
          </c:yVal>
          <c:smooth val="1"/>
        </c:ser>
        <c:ser>
          <c:idx val="1"/>
          <c:order val="1"/>
          <c:tx>
            <c:v>n = 2600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Rechenwerte!$D$25:$D$35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0.12731648176163</c:v>
                </c:pt>
                <c:pt idx="3">
                  <c:v>0.21685453426569254</c:v>
                </c:pt>
                <c:pt idx="4">
                  <c:v>0.32974382975874345</c:v>
                </c:pt>
                <c:pt idx="5">
                  <c:v>0.4524683018017783</c:v>
                </c:pt>
                <c:pt idx="6">
                  <c:v>0.6146396287005711</c:v>
                </c:pt>
                <c:pt idx="7">
                  <c:v>0.8165698479447044</c:v>
                </c:pt>
                <c:pt idx="8">
                  <c:v>1.0267793397215388</c:v>
                </c:pt>
                <c:pt idx="9">
                  <c:v>1.259702353534999</c:v>
                </c:pt>
                <c:pt idx="10">
                  <c:v>1.4088612484493723</c:v>
                </c:pt>
              </c:numCache>
            </c:numRef>
          </c:xVal>
          <c:yVal>
            <c:numRef>
              <c:f>Rechenwerte!$L$25:$L$35</c:f>
              <c:numCache>
                <c:ptCount val="11"/>
                <c:pt idx="0">
                  <c:v>6.164694696244247E-06</c:v>
                </c:pt>
                <c:pt idx="1">
                  <c:v>29.82830838701163</c:v>
                </c:pt>
                <c:pt idx="2">
                  <c:v>39.35671365456244</c:v>
                </c:pt>
                <c:pt idx="3">
                  <c:v>53.055785394341</c:v>
                </c:pt>
                <c:pt idx="4">
                  <c:v>62.79098572351594</c:v>
                </c:pt>
                <c:pt idx="5">
                  <c:v>69.47365041241828</c:v>
                </c:pt>
                <c:pt idx="6">
                  <c:v>75.62031393502593</c:v>
                </c:pt>
                <c:pt idx="7">
                  <c:v>73.63390749905648</c:v>
                </c:pt>
                <c:pt idx="8">
                  <c:v>65.4871802991184</c:v>
                </c:pt>
                <c:pt idx="9">
                  <c:v>49.126054984232056</c:v>
                </c:pt>
                <c:pt idx="10">
                  <c:v>31.879812600253782</c:v>
                </c:pt>
              </c:numCache>
            </c:numRef>
          </c:yVal>
          <c:smooth val="1"/>
        </c:ser>
        <c:ser>
          <c:idx val="2"/>
          <c:order val="2"/>
          <c:tx>
            <c:v>n = 2500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Rechenwerte!$D$41:$D$51</c:f>
              <c:numCache>
                <c:ptCount val="11"/>
                <c:pt idx="0">
                  <c:v>1.2730338645856518E-08</c:v>
                </c:pt>
                <c:pt idx="1">
                  <c:v>0.06972908809667198</c:v>
                </c:pt>
                <c:pt idx="2">
                  <c:v>0.12731648176163</c:v>
                </c:pt>
                <c:pt idx="3">
                  <c:v>0.2013360959709711</c:v>
                </c:pt>
                <c:pt idx="4">
                  <c:v>0.3120208586009158</c:v>
                </c:pt>
                <c:pt idx="5">
                  <c:v>0.42843409270985483</c:v>
                </c:pt>
                <c:pt idx="6">
                  <c:v>0.5874286382901199</c:v>
                </c:pt>
                <c:pt idx="7">
                  <c:v>0.7720002887644504</c:v>
                </c:pt>
                <c:pt idx="8">
                  <c:v>0.9744669941598956</c:v>
                </c:pt>
                <c:pt idx="9">
                  <c:v>1.1818663626541432</c:v>
                </c:pt>
                <c:pt idx="10">
                  <c:v>1.3282416266064168</c:v>
                </c:pt>
              </c:numCache>
            </c:numRef>
          </c:xVal>
          <c:yVal>
            <c:numRef>
              <c:f>Rechenwerte!$L$41:$L$51</c:f>
              <c:numCache>
                <c:ptCount val="11"/>
                <c:pt idx="0">
                  <c:v>6.7710720499311255E-06</c:v>
                </c:pt>
                <c:pt idx="1">
                  <c:v>27.255403104358038</c:v>
                </c:pt>
                <c:pt idx="2">
                  <c:v>41.439777061653466</c:v>
                </c:pt>
                <c:pt idx="3">
                  <c:v>52.78896162017767</c:v>
                </c:pt>
                <c:pt idx="4">
                  <c:v>64.02473006284055</c:v>
                </c:pt>
                <c:pt idx="5">
                  <c:v>70.38895604811985</c:v>
                </c:pt>
                <c:pt idx="6">
                  <c:v>75.90315682405962</c:v>
                </c:pt>
                <c:pt idx="7">
                  <c:v>74.34114337904089</c:v>
                </c:pt>
                <c:pt idx="8">
                  <c:v>65.40346637616</c:v>
                </c:pt>
                <c:pt idx="9">
                  <c:v>49.8665169236569</c:v>
                </c:pt>
                <c:pt idx="10">
                  <c:v>31.813010863489964</c:v>
                </c:pt>
              </c:numCache>
            </c:numRef>
          </c:yVal>
          <c:smooth val="1"/>
        </c:ser>
        <c:axId val="35881189"/>
        <c:axId val="54495246"/>
      </c:scatterChart>
      <c:valAx>
        <c:axId val="35881189"/>
        <c:scaling>
          <c:orientation val="minMax"/>
          <c:max val="1.54"/>
          <c:min val="0"/>
        </c:scaling>
        <c:axPos val="b"/>
        <c:majorGridlines/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495246"/>
        <c:crosses val="autoZero"/>
        <c:crossBetween val="midCat"/>
        <c:dispUnits/>
        <c:majorUnit val="0.2"/>
        <c:minorUnit val="0.05"/>
      </c:valAx>
      <c:valAx>
        <c:axId val="54495246"/>
        <c:scaling>
          <c:orientation val="minMax"/>
          <c:max val="80"/>
          <c:min val="0"/>
        </c:scaling>
        <c:axPos val="l"/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88118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09325"/>
        </c:manualLayout>
      </c:layout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Diagramm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25"/>
          <c:w val="0.9895"/>
          <c:h val="0.88075"/>
        </c:manualLayout>
      </c:layout>
      <c:scatterChart>
        <c:scatterStyle val="smooth"/>
        <c:varyColors val="0"/>
        <c:ser>
          <c:idx val="0"/>
          <c:order val="0"/>
          <c:tx>
            <c:v>Anlagenkennlinie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Diagramme!$AV$143:$AV$151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Diagramme!$AW$143:$AW$151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unters. Vent.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Diagramme!$AV$154:$AV$164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Diagramme!$AW$154:$AW$164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Ventilator +5%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Diagramme!$AX$154:$AX$164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Diagramme!$AY$154:$AY$164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Ventilator +7,5%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Diagramme!$AZ$154:$AZ$164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Diagramme!$BA$154:$BA$164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Ventilator +10%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Diagramme!$BB$154:$BB$165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Diagramme!$BC$154:$BC$164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Drossellinie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Diagramme!$AY$167:$AY$175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Diagramme!$AV$167:$AV$175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20695167"/>
        <c:axId val="52038776"/>
      </c:scatterChart>
      <c:valAx>
        <c:axId val="20695167"/>
        <c:scaling>
          <c:orientation val="minMax"/>
          <c:max val="2.6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2038776"/>
        <c:crosses val="autoZero"/>
        <c:crossBetween val="midCat"/>
        <c:dispUnits/>
      </c:valAx>
      <c:valAx>
        <c:axId val="52038776"/>
        <c:scaling>
          <c:orientation val="minMax"/>
          <c:min val="0"/>
        </c:scaling>
        <c:axPos val="l"/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0695167"/>
        <c:crosses val="autoZero"/>
        <c:crossBetween val="midCat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56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Rechenwerte!$A$5</c:f>
              <c:strCache>
                <c:ptCount val="1"/>
                <c:pt idx="0">
                  <c:v>n = 2700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Rechenwerte!$D$9:$D$19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0.1451676033506878</c:v>
                </c:pt>
                <c:pt idx="3">
                  <c:v>0.23133659984401334</c:v>
                </c:pt>
                <c:pt idx="4">
                  <c:v>0.34890376037221704</c:v>
                </c:pt>
                <c:pt idx="5">
                  <c:v>0.47530061338588553</c:v>
                </c:pt>
                <c:pt idx="6">
                  <c:v>0.6571234829204617</c:v>
                </c:pt>
                <c:pt idx="7">
                  <c:v>0.8656045621977736</c:v>
                </c:pt>
                <c:pt idx="8">
                  <c:v>1.092068459712121</c:v>
                </c:pt>
                <c:pt idx="9">
                  <c:v>1.3314245270131804</c:v>
                </c:pt>
                <c:pt idx="10">
                  <c:v>1.4924021180300207</c:v>
                </c:pt>
              </c:numCache>
            </c:numRef>
          </c:xVal>
          <c:yVal>
            <c:numRef>
              <c:f>Rechenwerte!$L$9:$L$19</c:f>
              <c:numCache>
                <c:ptCount val="11"/>
                <c:pt idx="0">
                  <c:v>5.793702710002394E-06</c:v>
                </c:pt>
                <c:pt idx="1">
                  <c:v>27.46802176648228</c:v>
                </c:pt>
                <c:pt idx="2">
                  <c:v>40.98183831122631</c:v>
                </c:pt>
                <c:pt idx="3">
                  <c:v>52.43715421836348</c:v>
                </c:pt>
                <c:pt idx="4">
                  <c:v>62.262305754817646</c:v>
                </c:pt>
                <c:pt idx="5">
                  <c:v>68.85902624342673</c:v>
                </c:pt>
                <c:pt idx="6">
                  <c:v>74.98403293608771</c:v>
                </c:pt>
                <c:pt idx="7">
                  <c:v>73.19521611346279</c:v>
                </c:pt>
                <c:pt idx="8">
                  <c:v>64.68575360362955</c:v>
                </c:pt>
                <c:pt idx="9">
                  <c:v>48.8853456269453</c:v>
                </c:pt>
                <c:pt idx="10">
                  <c:v>31.5300822979933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Rechenwerte!$A$21</c:f>
              <c:strCache>
                <c:ptCount val="1"/>
                <c:pt idx="0">
                  <c:v>n = 2550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Rechenwerte!$D$25:$D$35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0.12731648176163</c:v>
                </c:pt>
                <c:pt idx="3">
                  <c:v>0.21685453426569254</c:v>
                </c:pt>
                <c:pt idx="4">
                  <c:v>0.32974382975874345</c:v>
                </c:pt>
                <c:pt idx="5">
                  <c:v>0.4524683018017783</c:v>
                </c:pt>
                <c:pt idx="6">
                  <c:v>0.6146396287005711</c:v>
                </c:pt>
                <c:pt idx="7">
                  <c:v>0.8165698479447044</c:v>
                </c:pt>
                <c:pt idx="8">
                  <c:v>1.0267793397215388</c:v>
                </c:pt>
                <c:pt idx="9">
                  <c:v>1.259702353534999</c:v>
                </c:pt>
                <c:pt idx="10">
                  <c:v>1.4088612484493723</c:v>
                </c:pt>
              </c:numCache>
            </c:numRef>
          </c:xVal>
          <c:yVal>
            <c:numRef>
              <c:f>Rechenwerte!$L$25:$L$35</c:f>
              <c:numCache>
                <c:ptCount val="11"/>
                <c:pt idx="0">
                  <c:v>6.164694696244247E-06</c:v>
                </c:pt>
                <c:pt idx="1">
                  <c:v>29.82830838701163</c:v>
                </c:pt>
                <c:pt idx="2">
                  <c:v>39.35671365456244</c:v>
                </c:pt>
                <c:pt idx="3">
                  <c:v>53.055785394341</c:v>
                </c:pt>
                <c:pt idx="4">
                  <c:v>62.79098572351594</c:v>
                </c:pt>
                <c:pt idx="5">
                  <c:v>69.47365041241828</c:v>
                </c:pt>
                <c:pt idx="6">
                  <c:v>75.62031393502593</c:v>
                </c:pt>
                <c:pt idx="7">
                  <c:v>73.63390749905648</c:v>
                </c:pt>
                <c:pt idx="8">
                  <c:v>65.4871802991184</c:v>
                </c:pt>
                <c:pt idx="9">
                  <c:v>49.126054984232056</c:v>
                </c:pt>
                <c:pt idx="10">
                  <c:v>31.879812600253782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Rechenwerte!$A$37</c:f>
              <c:strCache>
                <c:ptCount val="1"/>
                <c:pt idx="0">
                  <c:v>n = 2400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Rechenwerte!$D$41:$D$51</c:f>
              <c:numCache>
                <c:ptCount val="11"/>
                <c:pt idx="0">
                  <c:v>1.2730338645856518E-08</c:v>
                </c:pt>
                <c:pt idx="1">
                  <c:v>0.06972908809667198</c:v>
                </c:pt>
                <c:pt idx="2">
                  <c:v>0.12731648176163</c:v>
                </c:pt>
                <c:pt idx="3">
                  <c:v>0.2013360959709711</c:v>
                </c:pt>
                <c:pt idx="4">
                  <c:v>0.3120208586009158</c:v>
                </c:pt>
                <c:pt idx="5">
                  <c:v>0.42843409270985483</c:v>
                </c:pt>
                <c:pt idx="6">
                  <c:v>0.5874286382901199</c:v>
                </c:pt>
                <c:pt idx="7">
                  <c:v>0.7720002887644504</c:v>
                </c:pt>
                <c:pt idx="8">
                  <c:v>0.9744669941598956</c:v>
                </c:pt>
                <c:pt idx="9">
                  <c:v>1.1818663626541432</c:v>
                </c:pt>
                <c:pt idx="10">
                  <c:v>1.3282416266064168</c:v>
                </c:pt>
              </c:numCache>
            </c:numRef>
          </c:xVal>
          <c:yVal>
            <c:numRef>
              <c:f>Rechenwerte!$L$41:$L$51</c:f>
              <c:numCache>
                <c:ptCount val="11"/>
                <c:pt idx="0">
                  <c:v>6.7710720499311255E-06</c:v>
                </c:pt>
                <c:pt idx="1">
                  <c:v>27.255403104358038</c:v>
                </c:pt>
                <c:pt idx="2">
                  <c:v>41.439777061653466</c:v>
                </c:pt>
                <c:pt idx="3">
                  <c:v>52.78896162017767</c:v>
                </c:pt>
                <c:pt idx="4">
                  <c:v>64.02473006284055</c:v>
                </c:pt>
                <c:pt idx="5">
                  <c:v>70.38895604811985</c:v>
                </c:pt>
                <c:pt idx="6">
                  <c:v>75.90315682405962</c:v>
                </c:pt>
                <c:pt idx="7">
                  <c:v>74.34114337904089</c:v>
                </c:pt>
                <c:pt idx="8">
                  <c:v>65.40346637616</c:v>
                </c:pt>
                <c:pt idx="9">
                  <c:v>49.8665169236569</c:v>
                </c:pt>
                <c:pt idx="10">
                  <c:v>31.813010863489964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Tabelle1!$Q$28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Tabelle1!$O$28:$O$32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Tabelle1!$Q$28:$Q$32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Tabelle1!$S$28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Tabelle1!$O$28:$O$32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Tabelle1!$S$28:$S$32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Tabelle1!$U$28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Tabelle1!$O$28:$O$32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Tabelle1!$U$28:$U$32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Tabelle1!$V$28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Tabelle1!$O$28:$O$32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Tabelle1!$V$28:$V$32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Tabelle1!$W$28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Tabelle1!$O$28:$O$32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Tabelle1!$W$28:$W$32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38361237"/>
        <c:axId val="9706814"/>
      </c:scatterChart>
      <c:val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Volumenstrom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06814"/>
        <c:crosses val="autoZero"/>
        <c:crossBetween val="midCat"/>
        <c:dispUnits/>
        <c:majorUnit val="0.1"/>
        <c:minorUnit val="0.05"/>
      </c:valAx>
      <c:valAx>
        <c:axId val="970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Wirkungsgrad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6123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Rechenwerte!$A$5</c:f>
              <c:strCache>
                <c:ptCount val="1"/>
                <c:pt idx="0">
                  <c:v>n = 2700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Rechenwerte!$I$9:$I$19</c:f>
              <c:numCache>
                <c:ptCount val="11"/>
                <c:pt idx="0">
                  <c:v>4590.632986224172</c:v>
                </c:pt>
                <c:pt idx="1">
                  <c:v>4655.773216166195</c:v>
                </c:pt>
                <c:pt idx="2">
                  <c:v>4757.762750609372</c:v>
                </c:pt>
                <c:pt idx="3">
                  <c:v>4843.34146248697</c:v>
                </c:pt>
                <c:pt idx="4">
                  <c:v>4916.591585372846</c:v>
                </c:pt>
                <c:pt idx="5">
                  <c:v>4923.656031062283</c:v>
                </c:pt>
                <c:pt idx="6">
                  <c:v>4819.660586862864</c:v>
                </c:pt>
                <c:pt idx="7">
                  <c:v>4384.7288427784515</c:v>
                </c:pt>
                <c:pt idx="8">
                  <c:v>3638.7714786129286</c:v>
                </c:pt>
                <c:pt idx="9">
                  <c:v>2663.981507485931</c:v>
                </c:pt>
                <c:pt idx="10">
                  <c:v>1663.9632682184988</c:v>
                </c:pt>
              </c:numCache>
            </c:numRef>
          </c:xVal>
          <c:yVal>
            <c:numRef>
              <c:f>Rechenwerte!$L$9:$L$19</c:f>
              <c:numCache>
                <c:ptCount val="11"/>
                <c:pt idx="0">
                  <c:v>5.793702710002394E-06</c:v>
                </c:pt>
                <c:pt idx="1">
                  <c:v>27.46802176648228</c:v>
                </c:pt>
                <c:pt idx="2">
                  <c:v>40.98183831122631</c:v>
                </c:pt>
                <c:pt idx="3">
                  <c:v>52.43715421836348</c:v>
                </c:pt>
                <c:pt idx="4">
                  <c:v>62.262305754817646</c:v>
                </c:pt>
                <c:pt idx="5">
                  <c:v>68.85902624342673</c:v>
                </c:pt>
                <c:pt idx="6">
                  <c:v>74.98403293608771</c:v>
                </c:pt>
                <c:pt idx="7">
                  <c:v>73.19521611346279</c:v>
                </c:pt>
                <c:pt idx="8">
                  <c:v>64.68575360362955</c:v>
                </c:pt>
                <c:pt idx="9">
                  <c:v>48.8853456269453</c:v>
                </c:pt>
                <c:pt idx="10">
                  <c:v>31.5300822979933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Rechenwerte!$A$21</c:f>
              <c:strCache>
                <c:ptCount val="1"/>
                <c:pt idx="0">
                  <c:v>n = 2550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Rechenwerte!$I$25:$I$35</c:f>
              <c:numCache>
                <c:ptCount val="11"/>
                <c:pt idx="0">
                  <c:v>4070.490012906954</c:v>
                </c:pt>
                <c:pt idx="1">
                  <c:v>4152.136622058153</c:v>
                </c:pt>
                <c:pt idx="2">
                  <c:v>4227.176572675978</c:v>
                </c:pt>
                <c:pt idx="3">
                  <c:v>4333.69694495281</c:v>
                </c:pt>
                <c:pt idx="4">
                  <c:v>4377.976642113893</c:v>
                </c:pt>
                <c:pt idx="5">
                  <c:v>4393.618520579246</c:v>
                </c:pt>
                <c:pt idx="6">
                  <c:v>4311.957616887704</c:v>
                </c:pt>
                <c:pt idx="7">
                  <c:v>3916.7416262377183</c:v>
                </c:pt>
                <c:pt idx="8">
                  <c:v>3272.9876570541437</c:v>
                </c:pt>
                <c:pt idx="9">
                  <c:v>2382.62189811202</c:v>
                </c:pt>
                <c:pt idx="10">
                  <c:v>1493.476539043354</c:v>
                </c:pt>
              </c:numCache>
            </c:numRef>
          </c:xVal>
          <c:yVal>
            <c:numRef>
              <c:f>Rechenwerte!$L$25:$L$35</c:f>
              <c:numCache>
                <c:ptCount val="11"/>
                <c:pt idx="0">
                  <c:v>6.164694696244247E-06</c:v>
                </c:pt>
                <c:pt idx="1">
                  <c:v>29.82830838701163</c:v>
                </c:pt>
                <c:pt idx="2">
                  <c:v>39.35671365456244</c:v>
                </c:pt>
                <c:pt idx="3">
                  <c:v>53.055785394341</c:v>
                </c:pt>
                <c:pt idx="4">
                  <c:v>62.79098572351594</c:v>
                </c:pt>
                <c:pt idx="5">
                  <c:v>69.47365041241828</c:v>
                </c:pt>
                <c:pt idx="6">
                  <c:v>75.62031393502593</c:v>
                </c:pt>
                <c:pt idx="7">
                  <c:v>73.63390749905648</c:v>
                </c:pt>
                <c:pt idx="8">
                  <c:v>65.4871802991184</c:v>
                </c:pt>
                <c:pt idx="9">
                  <c:v>49.126054984232056</c:v>
                </c:pt>
                <c:pt idx="10">
                  <c:v>31.879812600253782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Rechenwerte!$A$37</c:f>
              <c:strCache>
                <c:ptCount val="1"/>
                <c:pt idx="0">
                  <c:v>n = 2400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Rechenwerte!$I$41:$I$51</c:f>
              <c:numCache>
                <c:ptCount val="11"/>
                <c:pt idx="0">
                  <c:v>3646.8316048752613</c:v>
                </c:pt>
                <c:pt idx="1">
                  <c:v>3710.895903088757</c:v>
                </c:pt>
                <c:pt idx="2">
                  <c:v>3777.051340357866</c:v>
                </c:pt>
                <c:pt idx="3">
                  <c:v>3845.276075085059</c:v>
                </c:pt>
                <c:pt idx="4">
                  <c:v>3898.3143002231773</c:v>
                </c:pt>
                <c:pt idx="5">
                  <c:v>3903.6324057984552</c:v>
                </c:pt>
                <c:pt idx="6">
                  <c:v>3824.287310938353</c:v>
                </c:pt>
                <c:pt idx="7">
                  <c:v>3466.0212867899054</c:v>
                </c:pt>
                <c:pt idx="8">
                  <c:v>2883.658813968278</c:v>
                </c:pt>
                <c:pt idx="9">
                  <c:v>2131.7570419222975</c:v>
                </c:pt>
                <c:pt idx="10">
                  <c:v>1327.610581687561</c:v>
                </c:pt>
              </c:numCache>
            </c:numRef>
          </c:xVal>
          <c:yVal>
            <c:numRef>
              <c:f>Rechenwerte!$L$41:$L$51</c:f>
              <c:numCache>
                <c:ptCount val="11"/>
                <c:pt idx="0">
                  <c:v>6.7710720499311255E-06</c:v>
                </c:pt>
                <c:pt idx="1">
                  <c:v>27.255403104358038</c:v>
                </c:pt>
                <c:pt idx="2">
                  <c:v>41.439777061653466</c:v>
                </c:pt>
                <c:pt idx="3">
                  <c:v>52.78896162017767</c:v>
                </c:pt>
                <c:pt idx="4">
                  <c:v>64.02473006284055</c:v>
                </c:pt>
                <c:pt idx="5">
                  <c:v>70.38895604811985</c:v>
                </c:pt>
                <c:pt idx="6">
                  <c:v>75.90315682405962</c:v>
                </c:pt>
                <c:pt idx="7">
                  <c:v>74.34114337904089</c:v>
                </c:pt>
                <c:pt idx="8">
                  <c:v>65.40346637616</c:v>
                </c:pt>
                <c:pt idx="9">
                  <c:v>49.8665169236569</c:v>
                </c:pt>
                <c:pt idx="10">
                  <c:v>31.813010863489964</c:v>
                </c:pt>
              </c:numCache>
            </c:numRef>
          </c:yVal>
          <c:smooth val="1"/>
        </c:ser>
        <c:axId val="20252463"/>
        <c:axId val="48054440"/>
      </c:scatterChart>
      <c:val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54440"/>
        <c:crosses val="autoZero"/>
        <c:crossBetween val="midCat"/>
        <c:dispUnits/>
        <c:majorUnit val="500"/>
        <c:minorUnit val="100"/>
      </c:valAx>
      <c:valAx>
        <c:axId val="4805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Wirkungsgrad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2463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Diagramm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1625"/>
          <c:w val="0.78"/>
          <c:h val="0.811"/>
        </c:manualLayout>
      </c:layout>
      <c:scatterChart>
        <c:scatterStyle val="smooth"/>
        <c:varyColors val="0"/>
        <c:ser>
          <c:idx val="0"/>
          <c:order val="0"/>
          <c:tx>
            <c:strRef>
              <c:f>Rechenwerte!$A$5</c:f>
              <c:strCache>
                <c:ptCount val="1"/>
                <c:pt idx="0">
                  <c:v>n = 2700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Rechenwerte!$D$9:$D$19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0.1451676033506878</c:v>
                </c:pt>
                <c:pt idx="3">
                  <c:v>0.23133659984401334</c:v>
                </c:pt>
                <c:pt idx="4">
                  <c:v>0.34890376037221704</c:v>
                </c:pt>
                <c:pt idx="5">
                  <c:v>0.47530061338588553</c:v>
                </c:pt>
                <c:pt idx="6">
                  <c:v>0.6571234829204617</c:v>
                </c:pt>
                <c:pt idx="7">
                  <c:v>0.8656045621977736</c:v>
                </c:pt>
                <c:pt idx="8">
                  <c:v>1.092068459712121</c:v>
                </c:pt>
                <c:pt idx="9">
                  <c:v>1.3314245270131804</c:v>
                </c:pt>
                <c:pt idx="10">
                  <c:v>1.4924021180300207</c:v>
                </c:pt>
              </c:numCache>
            </c:numRef>
          </c:xVal>
          <c:yVal>
            <c:numRef>
              <c:f>Rechenwerte!$J$9:$J$19</c:f>
              <c:numCache>
                <c:ptCount val="11"/>
                <c:pt idx="0">
                  <c:v>6.827444750789643E-05</c:v>
                </c:pt>
                <c:pt idx="1">
                  <c:v>437.93361815860595</c:v>
                </c:pt>
                <c:pt idx="2">
                  <c:v>806.7943384545333</c:v>
                </c:pt>
                <c:pt idx="3">
                  <c:v>1308.5631361008523</c:v>
                </c:pt>
                <c:pt idx="4">
                  <c:v>2002.6093834690475</c:v>
                </c:pt>
                <c:pt idx="5">
                  <c:v>2730.297504222336</c:v>
                </c:pt>
                <c:pt idx="6">
                  <c:v>3690.4575136367007</c:v>
                </c:pt>
                <c:pt idx="7">
                  <c:v>4414.230593760679</c:v>
                </c:pt>
                <c:pt idx="8">
                  <c:v>4609.510654885829</c:v>
                </c:pt>
                <c:pt idx="9">
                  <c:v>4100.314101135665</c:v>
                </c:pt>
                <c:pt idx="10">
                  <c:v>2863.18537054272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Rechenwerte!$A$21</c:f>
              <c:strCache>
                <c:ptCount val="1"/>
                <c:pt idx="0">
                  <c:v>n = 2550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Rechenwerte!$D$25:$D$35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0.12731648176163</c:v>
                </c:pt>
                <c:pt idx="3">
                  <c:v>0.21685453426569254</c:v>
                </c:pt>
                <c:pt idx="4">
                  <c:v>0.32974382975874345</c:v>
                </c:pt>
                <c:pt idx="5">
                  <c:v>0.4524683018017783</c:v>
                </c:pt>
                <c:pt idx="6">
                  <c:v>0.6146396287005711</c:v>
                </c:pt>
                <c:pt idx="7">
                  <c:v>0.8165698479447044</c:v>
                </c:pt>
                <c:pt idx="8">
                  <c:v>1.0267793397215388</c:v>
                </c:pt>
                <c:pt idx="9">
                  <c:v>1.259702353534999</c:v>
                </c:pt>
                <c:pt idx="10">
                  <c:v>1.4088612484493723</c:v>
                </c:pt>
              </c:numCache>
            </c:numRef>
          </c:xVal>
          <c:yVal>
            <c:numRef>
              <c:f>Rechenwerte!$J$25:$J$35</c:f>
              <c:numCache>
                <c:ptCount val="11"/>
                <c:pt idx="0">
                  <c:v>6.053859185685323E-05</c:v>
                </c:pt>
                <c:pt idx="1">
                  <c:v>390.5603064326469</c:v>
                </c:pt>
                <c:pt idx="2">
                  <c:v>628.6922923593365</c:v>
                </c:pt>
                <c:pt idx="3">
                  <c:v>1097.6131794602588</c:v>
                </c:pt>
                <c:pt idx="4">
                  <c:v>1685.429690807705</c:v>
                </c:pt>
                <c:pt idx="5">
                  <c:v>2319.635666131284</c:v>
                </c:pt>
                <c:pt idx="6">
                  <c:v>3089.2463934385873</c:v>
                </c:pt>
                <c:pt idx="7">
                  <c:v>3721.5566186201354</c:v>
                </c:pt>
                <c:pt idx="8">
                  <c:v>3901.4600685024716</c:v>
                </c:pt>
                <c:pt idx="9">
                  <c:v>3473.48260362113</c:v>
                </c:pt>
                <c:pt idx="10">
                  <c:v>2429.3955004336094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Rechenwerte!$A$37</c:f>
              <c:strCache>
                <c:ptCount val="1"/>
                <c:pt idx="0">
                  <c:v>n = 2400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Rechenwerte!$D$41:$D$51</c:f>
              <c:numCache>
                <c:ptCount val="11"/>
                <c:pt idx="0">
                  <c:v>1.2730338645856518E-08</c:v>
                </c:pt>
                <c:pt idx="1">
                  <c:v>0.06972908809667198</c:v>
                </c:pt>
                <c:pt idx="2">
                  <c:v>0.12731648176163</c:v>
                </c:pt>
                <c:pt idx="3">
                  <c:v>0.2013360959709711</c:v>
                </c:pt>
                <c:pt idx="4">
                  <c:v>0.3120208586009158</c:v>
                </c:pt>
                <c:pt idx="5">
                  <c:v>0.42843409270985483</c:v>
                </c:pt>
                <c:pt idx="6">
                  <c:v>0.5874286382901199</c:v>
                </c:pt>
                <c:pt idx="7">
                  <c:v>0.7720002887644504</c:v>
                </c:pt>
                <c:pt idx="8">
                  <c:v>0.9744669941598956</c:v>
                </c:pt>
                <c:pt idx="9">
                  <c:v>1.1818663626541432</c:v>
                </c:pt>
                <c:pt idx="10">
                  <c:v>1.3282416266064168</c:v>
                </c:pt>
              </c:numCache>
            </c:numRef>
          </c:xVal>
          <c:yVal>
            <c:numRef>
              <c:f>Rechenwerte!$J$41:$J$51</c:f>
              <c:numCache>
                <c:ptCount val="11"/>
                <c:pt idx="0">
                  <c:v>5.423770833441991E-05</c:v>
                </c:pt>
                <c:pt idx="1">
                  <c:v>302.2913071937975</c:v>
                </c:pt>
                <c:pt idx="2">
                  <c:v>561.746836145354</c:v>
                </c:pt>
                <c:pt idx="3">
                  <c:v>904.2498787377461</c:v>
                </c:pt>
                <c:pt idx="4">
                  <c:v>1420.2042266130668</c:v>
                </c:pt>
                <c:pt idx="5">
                  <c:v>1951.7203115949003</c:v>
                </c:pt>
                <c:pt idx="6">
                  <c:v>2619.077861538808</c:v>
                </c:pt>
                <c:pt idx="7">
                  <c:v>3114.8611566657237</c:v>
                </c:pt>
                <c:pt idx="8">
                  <c:v>3264.2719212661955</c:v>
                </c:pt>
                <c:pt idx="9">
                  <c:v>2918.9938763741006</c:v>
                </c:pt>
                <c:pt idx="10">
                  <c:v>2038.631155279173</c:v>
                </c:pt>
              </c:numCache>
            </c:numRef>
          </c:yVal>
          <c:smooth val="1"/>
        </c:ser>
        <c:axId val="29836777"/>
        <c:axId val="95538"/>
      </c:scatterChart>
      <c:valAx>
        <c:axId val="29836777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5538"/>
        <c:crosses val="autoZero"/>
        <c:crossBetween val="midCat"/>
        <c:dispUnits/>
      </c:valAx>
      <c:valAx>
        <c:axId val="9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8367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38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Diagramm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8"/>
          <c:w val="0.84125"/>
          <c:h val="0.79775"/>
        </c:manualLayout>
      </c:layout>
      <c:scatterChart>
        <c:scatterStyle val="smooth"/>
        <c:varyColors val="0"/>
        <c:ser>
          <c:idx val="0"/>
          <c:order val="0"/>
          <c:tx>
            <c:strRef>
              <c:f>Rechenwerte!$A$5</c:f>
              <c:strCache>
                <c:ptCount val="1"/>
                <c:pt idx="0">
                  <c:v>n = 2700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Rechenwerte!$D$9:$D$19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0.1451676033506878</c:v>
                </c:pt>
                <c:pt idx="3">
                  <c:v>0.23133659984401334</c:v>
                </c:pt>
                <c:pt idx="4">
                  <c:v>0.34890376037221704</c:v>
                </c:pt>
                <c:pt idx="5">
                  <c:v>0.47530061338588553</c:v>
                </c:pt>
                <c:pt idx="6">
                  <c:v>0.6571234829204617</c:v>
                </c:pt>
                <c:pt idx="7">
                  <c:v>0.8656045621977736</c:v>
                </c:pt>
                <c:pt idx="8">
                  <c:v>1.092068459712121</c:v>
                </c:pt>
                <c:pt idx="9">
                  <c:v>1.3314245270131804</c:v>
                </c:pt>
                <c:pt idx="10">
                  <c:v>1.4924021180300207</c:v>
                </c:pt>
              </c:numCache>
            </c:numRef>
          </c:xVal>
          <c:yVal>
            <c:numRef>
              <c:f>Rechenwerte!$K$9:$K$19</c:f>
              <c:numCache>
                <c:ptCount val="11"/>
                <c:pt idx="0">
                  <c:v>1178.4251095594827</c:v>
                </c:pt>
                <c:pt idx="1">
                  <c:v>1594.3398541098882</c:v>
                </c:pt>
                <c:pt idx="2">
                  <c:v>1968.663124205253</c:v>
                </c:pt>
                <c:pt idx="3">
                  <c:v>2495.488467302434</c:v>
                </c:pt>
                <c:pt idx="4">
                  <c:v>3216.4073578564703</c:v>
                </c:pt>
                <c:pt idx="5">
                  <c:v>3965.0538980472006</c:v>
                </c:pt>
                <c:pt idx="6">
                  <c:v>4921.657810513133</c:v>
                </c:pt>
                <c:pt idx="7">
                  <c:v>6030.763795980882</c:v>
                </c:pt>
                <c:pt idx="8">
                  <c:v>7126.0059566302825</c:v>
                </c:pt>
                <c:pt idx="9">
                  <c:v>8387.614015099847</c:v>
                </c:pt>
                <c:pt idx="10">
                  <c:v>9080.805256017187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Rechenwerte!$A$21</c:f>
              <c:strCache>
                <c:ptCount val="1"/>
                <c:pt idx="0">
                  <c:v>n = 2550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Rechenwerte!$D$25:$D$35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0.12731648176163</c:v>
                </c:pt>
                <c:pt idx="3">
                  <c:v>0.21685453426569254</c:v>
                </c:pt>
                <c:pt idx="4">
                  <c:v>0.32974382975874345</c:v>
                </c:pt>
                <c:pt idx="5">
                  <c:v>0.4524683018017783</c:v>
                </c:pt>
                <c:pt idx="6">
                  <c:v>0.6146396287005711</c:v>
                </c:pt>
                <c:pt idx="7">
                  <c:v>0.8165698479447044</c:v>
                </c:pt>
                <c:pt idx="8">
                  <c:v>1.0267793397215388</c:v>
                </c:pt>
                <c:pt idx="9">
                  <c:v>1.259702353534999</c:v>
                </c:pt>
                <c:pt idx="10">
                  <c:v>1.4088612484493723</c:v>
                </c:pt>
              </c:numCache>
            </c:numRef>
          </c:xVal>
          <c:yVal>
            <c:numRef>
              <c:f>Rechenwerte!$K$25:$K$35</c:f>
              <c:numCache>
                <c:ptCount val="11"/>
                <c:pt idx="0">
                  <c:v>982.0209246329022</c:v>
                </c:pt>
                <c:pt idx="1">
                  <c:v>1309.3612328438696</c:v>
                </c:pt>
                <c:pt idx="2">
                  <c:v>1597.4207040695208</c:v>
                </c:pt>
                <c:pt idx="3">
                  <c:v>2068.790747893314</c:v>
                </c:pt>
                <c:pt idx="4">
                  <c:v>2684.190527329932</c:v>
                </c:pt>
                <c:pt idx="5">
                  <c:v>3338.871143751867</c:v>
                </c:pt>
                <c:pt idx="6">
                  <c:v>4085.2070464728727</c:v>
                </c:pt>
                <c:pt idx="7">
                  <c:v>5054.134358777336</c:v>
                </c:pt>
                <c:pt idx="8">
                  <c:v>5957.593609439607</c:v>
                </c:pt>
                <c:pt idx="9">
                  <c:v>7070.550657356896</c:v>
                </c:pt>
                <c:pt idx="10">
                  <c:v>7620.482375151321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Rechenwerte!$A$37</c:f>
              <c:strCache>
                <c:ptCount val="1"/>
                <c:pt idx="0">
                  <c:v>n = 2400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Rechenwerte!$D$41:$D$51</c:f>
              <c:numCache>
                <c:ptCount val="11"/>
                <c:pt idx="0">
                  <c:v>1.2730338645856518E-08</c:v>
                </c:pt>
                <c:pt idx="1">
                  <c:v>0.06972908809667198</c:v>
                </c:pt>
                <c:pt idx="2">
                  <c:v>0.12731648176163</c:v>
                </c:pt>
                <c:pt idx="3">
                  <c:v>0.2013360959709711</c:v>
                </c:pt>
                <c:pt idx="4">
                  <c:v>0.3120208586009158</c:v>
                </c:pt>
                <c:pt idx="5">
                  <c:v>0.42843409270985483</c:v>
                </c:pt>
                <c:pt idx="6">
                  <c:v>0.5874286382901199</c:v>
                </c:pt>
                <c:pt idx="7">
                  <c:v>0.7720002887644504</c:v>
                </c:pt>
                <c:pt idx="8">
                  <c:v>0.9744669941598956</c:v>
                </c:pt>
                <c:pt idx="9">
                  <c:v>1.1818663626541432</c:v>
                </c:pt>
                <c:pt idx="10">
                  <c:v>1.3282416266064168</c:v>
                </c:pt>
              </c:numCache>
            </c:numRef>
          </c:xVal>
          <c:yVal>
            <c:numRef>
              <c:f>Rechenwerte!$K$41:$K$51</c:f>
              <c:numCache>
                <c:ptCount val="11"/>
                <c:pt idx="0">
                  <c:v>801.020989504485</c:v>
                </c:pt>
                <c:pt idx="1">
                  <c:v>1109.1059854677483</c:v>
                </c:pt>
                <c:pt idx="2">
                  <c:v>1355.5739822383591</c:v>
                </c:pt>
                <c:pt idx="3">
                  <c:v>1712.9525775557445</c:v>
                </c:pt>
                <c:pt idx="4">
                  <c:v>2218.2119709354965</c:v>
                </c:pt>
                <c:pt idx="5">
                  <c:v>2772.7649636693714</c:v>
                </c:pt>
                <c:pt idx="6">
                  <c:v>3450.55195478855</c:v>
                </c:pt>
                <c:pt idx="7">
                  <c:v>4189.955945100383</c:v>
                </c:pt>
                <c:pt idx="8">
                  <c:v>4990.976934604868</c:v>
                </c:pt>
                <c:pt idx="9">
                  <c:v>5853.614923302006</c:v>
                </c:pt>
                <c:pt idx="10">
                  <c:v>6408.16791603588</c:v>
                </c:pt>
              </c:numCache>
            </c:numRef>
          </c:yVal>
          <c:smooth val="1"/>
        </c:ser>
        <c:axId val="859843"/>
        <c:axId val="7738588"/>
      </c:scatterChart>
      <c:valAx>
        <c:axId val="859843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738588"/>
        <c:crosses val="autoZero"/>
        <c:crossBetween val="midCat"/>
        <c:dispUnits/>
      </c:valAx>
      <c:valAx>
        <c:axId val="7738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598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25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Diagramm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85"/>
          <c:w val="0.842"/>
          <c:h val="0.797"/>
        </c:manualLayout>
      </c:layout>
      <c:scatterChart>
        <c:scatterStyle val="smooth"/>
        <c:varyColors val="0"/>
        <c:ser>
          <c:idx val="0"/>
          <c:order val="0"/>
          <c:tx>
            <c:strRef>
              <c:f>Rechenwerte!$A$5</c:f>
              <c:strCache>
                <c:ptCount val="1"/>
                <c:pt idx="0">
                  <c:v>n = 2700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Rechenwerte!$D$9:$D$19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0.1451676033506878</c:v>
                </c:pt>
                <c:pt idx="3">
                  <c:v>0.23133659984401334</c:v>
                </c:pt>
                <c:pt idx="4">
                  <c:v>0.34890376037221704</c:v>
                </c:pt>
                <c:pt idx="5">
                  <c:v>0.47530061338588553</c:v>
                </c:pt>
                <c:pt idx="6">
                  <c:v>0.6571234829204617</c:v>
                </c:pt>
                <c:pt idx="7">
                  <c:v>0.8656045621977736</c:v>
                </c:pt>
                <c:pt idx="8">
                  <c:v>1.092068459712121</c:v>
                </c:pt>
                <c:pt idx="9">
                  <c:v>1.3314245270131804</c:v>
                </c:pt>
                <c:pt idx="10">
                  <c:v>1.4924021180300207</c:v>
                </c:pt>
              </c:numCache>
            </c:numRef>
          </c:xVal>
          <c:yVal>
            <c:numRef>
              <c:f>Rechenwerte!$L$9:$L$19</c:f>
              <c:numCache>
                <c:ptCount val="11"/>
                <c:pt idx="0">
                  <c:v>5.793702710002394E-06</c:v>
                </c:pt>
                <c:pt idx="1">
                  <c:v>27.46802176648228</c:v>
                </c:pt>
                <c:pt idx="2">
                  <c:v>40.98183831122631</c:v>
                </c:pt>
                <c:pt idx="3">
                  <c:v>52.43715421836348</c:v>
                </c:pt>
                <c:pt idx="4">
                  <c:v>62.262305754817646</c:v>
                </c:pt>
                <c:pt idx="5">
                  <c:v>68.85902624342673</c:v>
                </c:pt>
                <c:pt idx="6">
                  <c:v>74.98403293608771</c:v>
                </c:pt>
                <c:pt idx="7">
                  <c:v>73.19521611346279</c:v>
                </c:pt>
                <c:pt idx="8">
                  <c:v>64.68575360362955</c:v>
                </c:pt>
                <c:pt idx="9">
                  <c:v>48.8853456269453</c:v>
                </c:pt>
                <c:pt idx="10">
                  <c:v>31.5300822979933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Rechenwerte!$A$21</c:f>
              <c:strCache>
                <c:ptCount val="1"/>
                <c:pt idx="0">
                  <c:v>n = 2550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Rechenwerte!$D$25:$D$35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0.12731648176163</c:v>
                </c:pt>
                <c:pt idx="3">
                  <c:v>0.21685453426569254</c:v>
                </c:pt>
                <c:pt idx="4">
                  <c:v>0.32974382975874345</c:v>
                </c:pt>
                <c:pt idx="5">
                  <c:v>0.4524683018017783</c:v>
                </c:pt>
                <c:pt idx="6">
                  <c:v>0.6146396287005711</c:v>
                </c:pt>
                <c:pt idx="7">
                  <c:v>0.8165698479447044</c:v>
                </c:pt>
                <c:pt idx="8">
                  <c:v>1.0267793397215388</c:v>
                </c:pt>
                <c:pt idx="9">
                  <c:v>1.259702353534999</c:v>
                </c:pt>
                <c:pt idx="10">
                  <c:v>1.4088612484493723</c:v>
                </c:pt>
              </c:numCache>
            </c:numRef>
          </c:xVal>
          <c:yVal>
            <c:numRef>
              <c:f>Rechenwerte!$L$25:$L$35</c:f>
              <c:numCache>
                <c:ptCount val="11"/>
                <c:pt idx="0">
                  <c:v>6.164694696244247E-06</c:v>
                </c:pt>
                <c:pt idx="1">
                  <c:v>29.82830838701163</c:v>
                </c:pt>
                <c:pt idx="2">
                  <c:v>39.35671365456244</c:v>
                </c:pt>
                <c:pt idx="3">
                  <c:v>53.055785394341</c:v>
                </c:pt>
                <c:pt idx="4">
                  <c:v>62.79098572351594</c:v>
                </c:pt>
                <c:pt idx="5">
                  <c:v>69.47365041241828</c:v>
                </c:pt>
                <c:pt idx="6">
                  <c:v>75.62031393502593</c:v>
                </c:pt>
                <c:pt idx="7">
                  <c:v>73.63390749905648</c:v>
                </c:pt>
                <c:pt idx="8">
                  <c:v>65.4871802991184</c:v>
                </c:pt>
                <c:pt idx="9">
                  <c:v>49.126054984232056</c:v>
                </c:pt>
                <c:pt idx="10">
                  <c:v>31.879812600253782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Rechenwerte!$A$37</c:f>
              <c:strCache>
                <c:ptCount val="1"/>
                <c:pt idx="0">
                  <c:v>n = 2400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Rechenwerte!$D$41:$D$51</c:f>
              <c:numCache>
                <c:ptCount val="11"/>
                <c:pt idx="0">
                  <c:v>1.2730338645856518E-08</c:v>
                </c:pt>
                <c:pt idx="1">
                  <c:v>0.06972908809667198</c:v>
                </c:pt>
                <c:pt idx="2">
                  <c:v>0.12731648176163</c:v>
                </c:pt>
                <c:pt idx="3">
                  <c:v>0.2013360959709711</c:v>
                </c:pt>
                <c:pt idx="4">
                  <c:v>0.3120208586009158</c:v>
                </c:pt>
                <c:pt idx="5">
                  <c:v>0.42843409270985483</c:v>
                </c:pt>
                <c:pt idx="6">
                  <c:v>0.5874286382901199</c:v>
                </c:pt>
                <c:pt idx="7">
                  <c:v>0.7720002887644504</c:v>
                </c:pt>
                <c:pt idx="8">
                  <c:v>0.9744669941598956</c:v>
                </c:pt>
                <c:pt idx="9">
                  <c:v>1.1818663626541432</c:v>
                </c:pt>
                <c:pt idx="10">
                  <c:v>1.3282416266064168</c:v>
                </c:pt>
              </c:numCache>
            </c:numRef>
          </c:xVal>
          <c:yVal>
            <c:numRef>
              <c:f>Rechenwerte!$L$41:$L$51</c:f>
              <c:numCache>
                <c:ptCount val="11"/>
                <c:pt idx="0">
                  <c:v>6.7710720499311255E-06</c:v>
                </c:pt>
                <c:pt idx="1">
                  <c:v>27.255403104358038</c:v>
                </c:pt>
                <c:pt idx="2">
                  <c:v>41.439777061653466</c:v>
                </c:pt>
                <c:pt idx="3">
                  <c:v>52.78896162017767</c:v>
                </c:pt>
                <c:pt idx="4">
                  <c:v>64.02473006284055</c:v>
                </c:pt>
                <c:pt idx="5">
                  <c:v>70.38895604811985</c:v>
                </c:pt>
                <c:pt idx="6">
                  <c:v>75.90315682405962</c:v>
                </c:pt>
                <c:pt idx="7">
                  <c:v>74.34114337904089</c:v>
                </c:pt>
                <c:pt idx="8">
                  <c:v>65.40346637616</c:v>
                </c:pt>
                <c:pt idx="9">
                  <c:v>49.8665169236569</c:v>
                </c:pt>
                <c:pt idx="10">
                  <c:v>31.813010863489964</c:v>
                </c:pt>
              </c:numCache>
            </c:numRef>
          </c:yVal>
          <c:smooth val="1"/>
        </c:ser>
        <c:axId val="2538429"/>
        <c:axId val="22845862"/>
      </c:scatterChart>
      <c:valAx>
        <c:axId val="2538429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2845862"/>
        <c:crosses val="autoZero"/>
        <c:crossBetween val="midCat"/>
        <c:dispUnits/>
      </c:valAx>
      <c:valAx>
        <c:axId val="22845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384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45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Diagramm 1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05"/>
          <c:h val="0.9375"/>
        </c:manualLayout>
      </c:layout>
      <c:scatterChart>
        <c:scatterStyle val="smooth"/>
        <c:varyColors val="0"/>
        <c:ser>
          <c:idx val="0"/>
          <c:order val="0"/>
          <c:tx>
            <c:v>n = 2700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Rechenwerte!$D$9:$D$19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0.1451676033506878</c:v>
                </c:pt>
                <c:pt idx="3">
                  <c:v>0.23133659984401334</c:v>
                </c:pt>
                <c:pt idx="4">
                  <c:v>0.34890376037221704</c:v>
                </c:pt>
                <c:pt idx="5">
                  <c:v>0.47530061338588553</c:v>
                </c:pt>
                <c:pt idx="6">
                  <c:v>0.6571234829204617</c:v>
                </c:pt>
                <c:pt idx="7">
                  <c:v>0.8656045621977736</c:v>
                </c:pt>
                <c:pt idx="8">
                  <c:v>1.092068459712121</c:v>
                </c:pt>
                <c:pt idx="9">
                  <c:v>1.3314245270131804</c:v>
                </c:pt>
                <c:pt idx="10">
                  <c:v>1.4924021180300207</c:v>
                </c:pt>
              </c:numCache>
            </c:numRef>
          </c:xVal>
          <c:yVal>
            <c:numRef>
              <c:f>Rechenwerte!$I$9:$I$19</c:f>
              <c:numCache>
                <c:ptCount val="11"/>
                <c:pt idx="0">
                  <c:v>4590.632986224172</c:v>
                </c:pt>
                <c:pt idx="1">
                  <c:v>4655.773216166195</c:v>
                </c:pt>
                <c:pt idx="2">
                  <c:v>4757.762750609372</c:v>
                </c:pt>
                <c:pt idx="3">
                  <c:v>4843.34146248697</c:v>
                </c:pt>
                <c:pt idx="4">
                  <c:v>4916.591585372846</c:v>
                </c:pt>
                <c:pt idx="5">
                  <c:v>4923.656031062283</c:v>
                </c:pt>
                <c:pt idx="6">
                  <c:v>4819.660586862864</c:v>
                </c:pt>
                <c:pt idx="7">
                  <c:v>4384.7288427784515</c:v>
                </c:pt>
                <c:pt idx="8">
                  <c:v>3638.7714786129286</c:v>
                </c:pt>
                <c:pt idx="9">
                  <c:v>2663.981507485931</c:v>
                </c:pt>
                <c:pt idx="10">
                  <c:v>1663.9632682184988</c:v>
                </c:pt>
              </c:numCache>
            </c:numRef>
          </c:yVal>
          <c:smooth val="1"/>
        </c:ser>
        <c:ser>
          <c:idx val="1"/>
          <c:order val="1"/>
          <c:tx>
            <c:v>n = 2600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Rechenwerte!$D$25:$D$35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0.12731648176163</c:v>
                </c:pt>
                <c:pt idx="3">
                  <c:v>0.21685453426569254</c:v>
                </c:pt>
                <c:pt idx="4">
                  <c:v>0.32974382975874345</c:v>
                </c:pt>
                <c:pt idx="5">
                  <c:v>0.4524683018017783</c:v>
                </c:pt>
                <c:pt idx="6">
                  <c:v>0.6146396287005711</c:v>
                </c:pt>
                <c:pt idx="7">
                  <c:v>0.8165698479447044</c:v>
                </c:pt>
                <c:pt idx="8">
                  <c:v>1.0267793397215388</c:v>
                </c:pt>
                <c:pt idx="9">
                  <c:v>1.259702353534999</c:v>
                </c:pt>
                <c:pt idx="10">
                  <c:v>1.4088612484493723</c:v>
                </c:pt>
              </c:numCache>
            </c:numRef>
          </c:xVal>
          <c:yVal>
            <c:numRef>
              <c:f>Rechenwerte!$I$25:$I$35</c:f>
              <c:numCache>
                <c:ptCount val="11"/>
                <c:pt idx="0">
                  <c:v>4070.490012906954</c:v>
                </c:pt>
                <c:pt idx="1">
                  <c:v>4152.136622058153</c:v>
                </c:pt>
                <c:pt idx="2">
                  <c:v>4227.176572675978</c:v>
                </c:pt>
                <c:pt idx="3">
                  <c:v>4333.69694495281</c:v>
                </c:pt>
                <c:pt idx="4">
                  <c:v>4377.976642113893</c:v>
                </c:pt>
                <c:pt idx="5">
                  <c:v>4393.618520579246</c:v>
                </c:pt>
                <c:pt idx="6">
                  <c:v>4311.957616887704</c:v>
                </c:pt>
                <c:pt idx="7">
                  <c:v>3916.7416262377183</c:v>
                </c:pt>
                <c:pt idx="8">
                  <c:v>3272.9876570541437</c:v>
                </c:pt>
                <c:pt idx="9">
                  <c:v>2382.62189811202</c:v>
                </c:pt>
                <c:pt idx="10">
                  <c:v>1493.476539043354</c:v>
                </c:pt>
              </c:numCache>
            </c:numRef>
          </c:yVal>
          <c:smooth val="1"/>
        </c:ser>
        <c:ser>
          <c:idx val="2"/>
          <c:order val="2"/>
          <c:tx>
            <c:v>n = 2500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Rechenwerte!$D$41:$D$51</c:f>
              <c:numCache>
                <c:ptCount val="11"/>
                <c:pt idx="0">
                  <c:v>1.2730338645856518E-08</c:v>
                </c:pt>
                <c:pt idx="1">
                  <c:v>0.06972908809667198</c:v>
                </c:pt>
                <c:pt idx="2">
                  <c:v>0.12731648176163</c:v>
                </c:pt>
                <c:pt idx="3">
                  <c:v>0.2013360959709711</c:v>
                </c:pt>
                <c:pt idx="4">
                  <c:v>0.3120208586009158</c:v>
                </c:pt>
                <c:pt idx="5">
                  <c:v>0.42843409270985483</c:v>
                </c:pt>
                <c:pt idx="6">
                  <c:v>0.5874286382901199</c:v>
                </c:pt>
                <c:pt idx="7">
                  <c:v>0.7720002887644504</c:v>
                </c:pt>
                <c:pt idx="8">
                  <c:v>0.9744669941598956</c:v>
                </c:pt>
                <c:pt idx="9">
                  <c:v>1.1818663626541432</c:v>
                </c:pt>
                <c:pt idx="10">
                  <c:v>1.3282416266064168</c:v>
                </c:pt>
              </c:numCache>
            </c:numRef>
          </c:xVal>
          <c:yVal>
            <c:numRef>
              <c:f>Rechenwerte!$I$41:$I$51</c:f>
              <c:numCache>
                <c:ptCount val="11"/>
                <c:pt idx="0">
                  <c:v>3646.8316048752613</c:v>
                </c:pt>
                <c:pt idx="1">
                  <c:v>3710.895903088757</c:v>
                </c:pt>
                <c:pt idx="2">
                  <c:v>3777.051340357866</c:v>
                </c:pt>
                <c:pt idx="3">
                  <c:v>3845.276075085059</c:v>
                </c:pt>
                <c:pt idx="4">
                  <c:v>3898.3143002231773</c:v>
                </c:pt>
                <c:pt idx="5">
                  <c:v>3903.6324057984552</c:v>
                </c:pt>
                <c:pt idx="6">
                  <c:v>3824.287310938353</c:v>
                </c:pt>
                <c:pt idx="7">
                  <c:v>3466.0212867899054</c:v>
                </c:pt>
                <c:pt idx="8">
                  <c:v>2883.658813968278</c:v>
                </c:pt>
                <c:pt idx="9">
                  <c:v>2131.7570419222975</c:v>
                </c:pt>
                <c:pt idx="10">
                  <c:v>1327.610581687561</c:v>
                </c:pt>
              </c:numCache>
            </c:numRef>
          </c:yVal>
          <c:smooth val="1"/>
        </c:ser>
        <c:ser>
          <c:idx val="3"/>
          <c:order val="3"/>
          <c:tx>
            <c:v>W = 0,75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Diagramme!$AU$4:$AU$9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Diagramme!$AV$4:$AV$9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W = 0,70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Diagramme!$AU$12:$AU$17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Diagramme!$AV$12:$AV$17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W = 0,65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Diagramme!$AU$20:$AU$25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Diagramme!$AV$20:$AV$25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W = 0,60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Diagramme!$AU$28:$AU$33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Diagramme!$AV$28:$AV$33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W = 0,55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Diagramme!$AW$4:$AW$9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Diagramme!$AX$4:$AX$9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4286167"/>
        <c:axId val="38575504"/>
      </c:scatterChart>
      <c:valAx>
        <c:axId val="4286167"/>
        <c:scaling>
          <c:orientation val="minMax"/>
          <c:max val="1.54"/>
          <c:min val="0"/>
        </c:scaling>
        <c:axPos val="b"/>
        <c:majorGridlines/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8575504"/>
        <c:crosses val="autoZero"/>
        <c:crossBetween val="midCat"/>
        <c:dispUnits/>
        <c:majorUnit val="0.2"/>
        <c:minorUnit val="0.05"/>
      </c:valAx>
      <c:valAx>
        <c:axId val="38575504"/>
        <c:scaling>
          <c:orientation val="minMax"/>
          <c:max val="5500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286167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079"/>
          <c:w val="0.2505"/>
          <c:h val="0.23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Diagramm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7725"/>
          <c:w val="0.98975"/>
          <c:h val="0.9075"/>
        </c:manualLayout>
      </c:layout>
      <c:scatterChart>
        <c:scatterStyle val="smooth"/>
        <c:varyColors val="0"/>
        <c:ser>
          <c:idx val="0"/>
          <c:order val="0"/>
          <c:tx>
            <c:v>n = 2700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Rechenwerte!$D$9:$D$19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0.1451676033506878</c:v>
                </c:pt>
                <c:pt idx="3">
                  <c:v>0.23133659984401334</c:v>
                </c:pt>
                <c:pt idx="4">
                  <c:v>0.34890376037221704</c:v>
                </c:pt>
                <c:pt idx="5">
                  <c:v>0.47530061338588553</c:v>
                </c:pt>
                <c:pt idx="6">
                  <c:v>0.6571234829204617</c:v>
                </c:pt>
                <c:pt idx="7">
                  <c:v>0.8656045621977736</c:v>
                </c:pt>
                <c:pt idx="8">
                  <c:v>1.092068459712121</c:v>
                </c:pt>
                <c:pt idx="9">
                  <c:v>1.3314245270131804</c:v>
                </c:pt>
                <c:pt idx="10">
                  <c:v>1.4924021180300207</c:v>
                </c:pt>
              </c:numCache>
            </c:numRef>
          </c:xVal>
          <c:yVal>
            <c:numRef>
              <c:f>Rechenwerte!$J$9:$J$19</c:f>
              <c:numCache>
                <c:ptCount val="11"/>
                <c:pt idx="0">
                  <c:v>6.827444750789643E-05</c:v>
                </c:pt>
                <c:pt idx="1">
                  <c:v>437.93361815860595</c:v>
                </c:pt>
                <c:pt idx="2">
                  <c:v>806.7943384545333</c:v>
                </c:pt>
                <c:pt idx="3">
                  <c:v>1308.5631361008523</c:v>
                </c:pt>
                <c:pt idx="4">
                  <c:v>2002.6093834690475</c:v>
                </c:pt>
                <c:pt idx="5">
                  <c:v>2730.297504222336</c:v>
                </c:pt>
                <c:pt idx="6">
                  <c:v>3690.4575136367007</c:v>
                </c:pt>
                <c:pt idx="7">
                  <c:v>4414.230593760679</c:v>
                </c:pt>
                <c:pt idx="8">
                  <c:v>4609.510654885829</c:v>
                </c:pt>
                <c:pt idx="9">
                  <c:v>4100.314101135665</c:v>
                </c:pt>
                <c:pt idx="10">
                  <c:v>2863.18537054272</c:v>
                </c:pt>
              </c:numCache>
            </c:numRef>
          </c:yVal>
          <c:smooth val="1"/>
        </c:ser>
        <c:ser>
          <c:idx val="1"/>
          <c:order val="1"/>
          <c:tx>
            <c:v>n = 2600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Rechenwerte!$D$25:$D$35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0.12731648176163</c:v>
                </c:pt>
                <c:pt idx="3">
                  <c:v>0.21685453426569254</c:v>
                </c:pt>
                <c:pt idx="4">
                  <c:v>0.32974382975874345</c:v>
                </c:pt>
                <c:pt idx="5">
                  <c:v>0.4524683018017783</c:v>
                </c:pt>
                <c:pt idx="6">
                  <c:v>0.6146396287005711</c:v>
                </c:pt>
                <c:pt idx="7">
                  <c:v>0.8165698479447044</c:v>
                </c:pt>
                <c:pt idx="8">
                  <c:v>1.0267793397215388</c:v>
                </c:pt>
                <c:pt idx="9">
                  <c:v>1.259702353534999</c:v>
                </c:pt>
                <c:pt idx="10">
                  <c:v>1.4088612484493723</c:v>
                </c:pt>
              </c:numCache>
            </c:numRef>
          </c:xVal>
          <c:yVal>
            <c:numRef>
              <c:f>Rechenwerte!$J$25:$J$35</c:f>
              <c:numCache>
                <c:ptCount val="11"/>
                <c:pt idx="0">
                  <c:v>6.053859185685323E-05</c:v>
                </c:pt>
                <c:pt idx="1">
                  <c:v>390.5603064326469</c:v>
                </c:pt>
                <c:pt idx="2">
                  <c:v>628.6922923593365</c:v>
                </c:pt>
                <c:pt idx="3">
                  <c:v>1097.6131794602588</c:v>
                </c:pt>
                <c:pt idx="4">
                  <c:v>1685.429690807705</c:v>
                </c:pt>
                <c:pt idx="5">
                  <c:v>2319.635666131284</c:v>
                </c:pt>
                <c:pt idx="6">
                  <c:v>3089.2463934385873</c:v>
                </c:pt>
                <c:pt idx="7">
                  <c:v>3721.5566186201354</c:v>
                </c:pt>
                <c:pt idx="8">
                  <c:v>3901.4600685024716</c:v>
                </c:pt>
                <c:pt idx="9">
                  <c:v>3473.48260362113</c:v>
                </c:pt>
                <c:pt idx="10">
                  <c:v>2429.3955004336094</c:v>
                </c:pt>
              </c:numCache>
            </c:numRef>
          </c:yVal>
          <c:smooth val="1"/>
        </c:ser>
        <c:ser>
          <c:idx val="2"/>
          <c:order val="2"/>
          <c:tx>
            <c:v>n = 2500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Rechenwerte!$D$41:$D$51</c:f>
              <c:numCache>
                <c:ptCount val="11"/>
                <c:pt idx="0">
                  <c:v>1.2730338645856518E-08</c:v>
                </c:pt>
                <c:pt idx="1">
                  <c:v>0.06972908809667198</c:v>
                </c:pt>
                <c:pt idx="2">
                  <c:v>0.12731648176163</c:v>
                </c:pt>
                <c:pt idx="3">
                  <c:v>0.2013360959709711</c:v>
                </c:pt>
                <c:pt idx="4">
                  <c:v>0.3120208586009158</c:v>
                </c:pt>
                <c:pt idx="5">
                  <c:v>0.42843409270985483</c:v>
                </c:pt>
                <c:pt idx="6">
                  <c:v>0.5874286382901199</c:v>
                </c:pt>
                <c:pt idx="7">
                  <c:v>0.7720002887644504</c:v>
                </c:pt>
                <c:pt idx="8">
                  <c:v>0.9744669941598956</c:v>
                </c:pt>
                <c:pt idx="9">
                  <c:v>1.1818663626541432</c:v>
                </c:pt>
                <c:pt idx="10">
                  <c:v>1.3282416266064168</c:v>
                </c:pt>
              </c:numCache>
            </c:numRef>
          </c:xVal>
          <c:yVal>
            <c:numRef>
              <c:f>Rechenwerte!$J$41:$J$51</c:f>
              <c:numCache>
                <c:ptCount val="11"/>
                <c:pt idx="0">
                  <c:v>5.423770833441991E-05</c:v>
                </c:pt>
                <c:pt idx="1">
                  <c:v>302.2913071937975</c:v>
                </c:pt>
                <c:pt idx="2">
                  <c:v>561.746836145354</c:v>
                </c:pt>
                <c:pt idx="3">
                  <c:v>904.2498787377461</c:v>
                </c:pt>
                <c:pt idx="4">
                  <c:v>1420.2042266130668</c:v>
                </c:pt>
                <c:pt idx="5">
                  <c:v>1951.7203115949003</c:v>
                </c:pt>
                <c:pt idx="6">
                  <c:v>2619.077861538808</c:v>
                </c:pt>
                <c:pt idx="7">
                  <c:v>3114.8611566657237</c:v>
                </c:pt>
                <c:pt idx="8">
                  <c:v>3264.2719212661955</c:v>
                </c:pt>
                <c:pt idx="9">
                  <c:v>2918.9938763741006</c:v>
                </c:pt>
                <c:pt idx="10">
                  <c:v>2038.631155279173</c:v>
                </c:pt>
              </c:numCache>
            </c:numRef>
          </c:yVal>
          <c:smooth val="1"/>
        </c:ser>
        <c:axId val="11635217"/>
        <c:axId val="37608090"/>
      </c:scatterChart>
      <c:valAx>
        <c:axId val="11635217"/>
        <c:scaling>
          <c:orientation val="minMax"/>
          <c:max val="1.54"/>
          <c:min val="0"/>
        </c:scaling>
        <c:axPos val="b"/>
        <c:majorGridlines/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7608090"/>
        <c:crosses val="autoZero"/>
        <c:crossBetween val="midCat"/>
        <c:dispUnits/>
        <c:majorUnit val="0.2"/>
        <c:minorUnit val="0.05"/>
      </c:valAx>
      <c:valAx>
        <c:axId val="3760809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1635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1295"/>
          <c:w val="0.10675"/>
          <c:h val="0.160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Diagramm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7675"/>
          <c:w val="0.98975"/>
          <c:h val="0.908"/>
        </c:manualLayout>
      </c:layout>
      <c:scatterChart>
        <c:scatterStyle val="smooth"/>
        <c:varyColors val="0"/>
        <c:ser>
          <c:idx val="0"/>
          <c:order val="0"/>
          <c:tx>
            <c:v>n = 2700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Rechenwerte!$D$9:$D$19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0.1451676033506878</c:v>
                </c:pt>
                <c:pt idx="3">
                  <c:v>0.23133659984401334</c:v>
                </c:pt>
                <c:pt idx="4">
                  <c:v>0.34890376037221704</c:v>
                </c:pt>
                <c:pt idx="5">
                  <c:v>0.47530061338588553</c:v>
                </c:pt>
                <c:pt idx="6">
                  <c:v>0.6571234829204617</c:v>
                </c:pt>
                <c:pt idx="7">
                  <c:v>0.8656045621977736</c:v>
                </c:pt>
                <c:pt idx="8">
                  <c:v>1.092068459712121</c:v>
                </c:pt>
                <c:pt idx="9">
                  <c:v>1.3314245270131804</c:v>
                </c:pt>
                <c:pt idx="10">
                  <c:v>1.4924021180300207</c:v>
                </c:pt>
              </c:numCache>
            </c:numRef>
          </c:xVal>
          <c:yVal>
            <c:numRef>
              <c:f>Rechenwerte!$K$9:$K$19</c:f>
              <c:numCache>
                <c:ptCount val="11"/>
                <c:pt idx="0">
                  <c:v>1178.4251095594827</c:v>
                </c:pt>
                <c:pt idx="1">
                  <c:v>1594.3398541098882</c:v>
                </c:pt>
                <c:pt idx="2">
                  <c:v>1968.663124205253</c:v>
                </c:pt>
                <c:pt idx="3">
                  <c:v>2495.488467302434</c:v>
                </c:pt>
                <c:pt idx="4">
                  <c:v>3216.4073578564703</c:v>
                </c:pt>
                <c:pt idx="5">
                  <c:v>3965.0538980472006</c:v>
                </c:pt>
                <c:pt idx="6">
                  <c:v>4921.657810513133</c:v>
                </c:pt>
                <c:pt idx="7">
                  <c:v>6030.763795980882</c:v>
                </c:pt>
                <c:pt idx="8">
                  <c:v>7126.0059566302825</c:v>
                </c:pt>
                <c:pt idx="9">
                  <c:v>8387.614015099847</c:v>
                </c:pt>
                <c:pt idx="10">
                  <c:v>9080.805256017187</c:v>
                </c:pt>
              </c:numCache>
            </c:numRef>
          </c:yVal>
          <c:smooth val="1"/>
        </c:ser>
        <c:ser>
          <c:idx val="1"/>
          <c:order val="1"/>
          <c:tx>
            <c:v>n = 2600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Rechenwerte!$D$25:$D$35</c:f>
              <c:numCache>
                <c:ptCount val="11"/>
                <c:pt idx="0">
                  <c:v>1.2730338645856518E-08</c:v>
                </c:pt>
                <c:pt idx="1">
                  <c:v>0.08051704377053874</c:v>
                </c:pt>
                <c:pt idx="2">
                  <c:v>0.12731648176163</c:v>
                </c:pt>
                <c:pt idx="3">
                  <c:v>0.21685453426569254</c:v>
                </c:pt>
                <c:pt idx="4">
                  <c:v>0.32974382975874345</c:v>
                </c:pt>
                <c:pt idx="5">
                  <c:v>0.4524683018017783</c:v>
                </c:pt>
                <c:pt idx="6">
                  <c:v>0.6146396287005711</c:v>
                </c:pt>
                <c:pt idx="7">
                  <c:v>0.8165698479447044</c:v>
                </c:pt>
                <c:pt idx="8">
                  <c:v>1.0267793397215388</c:v>
                </c:pt>
                <c:pt idx="9">
                  <c:v>1.259702353534999</c:v>
                </c:pt>
                <c:pt idx="10">
                  <c:v>1.4088612484493723</c:v>
                </c:pt>
              </c:numCache>
            </c:numRef>
          </c:xVal>
          <c:yVal>
            <c:numRef>
              <c:f>Rechenwerte!$K$25:$K$35</c:f>
              <c:numCache>
                <c:ptCount val="11"/>
                <c:pt idx="0">
                  <c:v>982.0209246329022</c:v>
                </c:pt>
                <c:pt idx="1">
                  <c:v>1309.3612328438696</c:v>
                </c:pt>
                <c:pt idx="2">
                  <c:v>1597.4207040695208</c:v>
                </c:pt>
                <c:pt idx="3">
                  <c:v>2068.790747893314</c:v>
                </c:pt>
                <c:pt idx="4">
                  <c:v>2684.190527329932</c:v>
                </c:pt>
                <c:pt idx="5">
                  <c:v>3338.871143751867</c:v>
                </c:pt>
                <c:pt idx="6">
                  <c:v>4085.2070464728727</c:v>
                </c:pt>
                <c:pt idx="7">
                  <c:v>5054.134358777336</c:v>
                </c:pt>
                <c:pt idx="8">
                  <c:v>5957.593609439607</c:v>
                </c:pt>
                <c:pt idx="9">
                  <c:v>7070.550657356896</c:v>
                </c:pt>
                <c:pt idx="10">
                  <c:v>7620.482375151321</c:v>
                </c:pt>
              </c:numCache>
            </c:numRef>
          </c:yVal>
          <c:smooth val="1"/>
        </c:ser>
        <c:ser>
          <c:idx val="2"/>
          <c:order val="2"/>
          <c:tx>
            <c:v>n = 2500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Rechenwerte!$D$41:$D$51</c:f>
              <c:numCache>
                <c:ptCount val="11"/>
                <c:pt idx="0">
                  <c:v>1.2730338645856518E-08</c:v>
                </c:pt>
                <c:pt idx="1">
                  <c:v>0.06972908809667198</c:v>
                </c:pt>
                <c:pt idx="2">
                  <c:v>0.12731648176163</c:v>
                </c:pt>
                <c:pt idx="3">
                  <c:v>0.2013360959709711</c:v>
                </c:pt>
                <c:pt idx="4">
                  <c:v>0.3120208586009158</c:v>
                </c:pt>
                <c:pt idx="5">
                  <c:v>0.42843409270985483</c:v>
                </c:pt>
                <c:pt idx="6">
                  <c:v>0.5874286382901199</c:v>
                </c:pt>
                <c:pt idx="7">
                  <c:v>0.7720002887644504</c:v>
                </c:pt>
                <c:pt idx="8">
                  <c:v>0.9744669941598956</c:v>
                </c:pt>
                <c:pt idx="9">
                  <c:v>1.1818663626541432</c:v>
                </c:pt>
                <c:pt idx="10">
                  <c:v>1.3282416266064168</c:v>
                </c:pt>
              </c:numCache>
            </c:numRef>
          </c:xVal>
          <c:yVal>
            <c:numRef>
              <c:f>Rechenwerte!$K$41:$K$51</c:f>
              <c:numCache>
                <c:ptCount val="11"/>
                <c:pt idx="0">
                  <c:v>801.020989504485</c:v>
                </c:pt>
                <c:pt idx="1">
                  <c:v>1109.1059854677483</c:v>
                </c:pt>
                <c:pt idx="2">
                  <c:v>1355.5739822383591</c:v>
                </c:pt>
                <c:pt idx="3">
                  <c:v>1712.9525775557445</c:v>
                </c:pt>
                <c:pt idx="4">
                  <c:v>2218.2119709354965</c:v>
                </c:pt>
                <c:pt idx="5">
                  <c:v>2772.7649636693714</c:v>
                </c:pt>
                <c:pt idx="6">
                  <c:v>3450.55195478855</c:v>
                </c:pt>
                <c:pt idx="7">
                  <c:v>4189.955945100383</c:v>
                </c:pt>
                <c:pt idx="8">
                  <c:v>4990.976934604868</c:v>
                </c:pt>
                <c:pt idx="9">
                  <c:v>5853.614923302006</c:v>
                </c:pt>
                <c:pt idx="10">
                  <c:v>6408.16791603588</c:v>
                </c:pt>
              </c:numCache>
            </c:numRef>
          </c:yVal>
          <c:smooth val="1"/>
        </c:ser>
        <c:axId val="2928491"/>
        <c:axId val="26356420"/>
      </c:scatterChart>
      <c:valAx>
        <c:axId val="2928491"/>
        <c:scaling>
          <c:orientation val="minMax"/>
          <c:max val="1.54"/>
          <c:min val="0"/>
        </c:scaling>
        <c:axPos val="b"/>
        <c:majorGridlines/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6356420"/>
        <c:crosses val="autoZero"/>
        <c:crossBetween val="midCat"/>
        <c:dispUnits/>
        <c:majorUnit val="0.2"/>
        <c:minorUnit val="0.05"/>
      </c:valAx>
      <c:valAx>
        <c:axId val="26356420"/>
        <c:scaling>
          <c:orientation val="minMax"/>
          <c:max val="10000"/>
          <c:min val="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928491"/>
        <c:crosses val="autoZero"/>
        <c:crossBetween val="midCat"/>
        <c:dispUnits/>
        <c:majorUnit val="10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1155"/>
        </c:manualLayout>
      </c:layout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8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9.emf" /><Relationship Id="rId2" Type="http://schemas.openxmlformats.org/officeDocument/2006/relationships/image" Target="../media/image9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2.emf" /><Relationship Id="rId2" Type="http://schemas.openxmlformats.org/officeDocument/2006/relationships/image" Target="../media/image9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4.emf" /><Relationship Id="rId2" Type="http://schemas.openxmlformats.org/officeDocument/2006/relationships/image" Target="../media/image9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62.emf" /><Relationship Id="rId3" Type="http://schemas.openxmlformats.org/officeDocument/2006/relationships/image" Target="../media/image21.emf" /><Relationship Id="rId4" Type="http://schemas.openxmlformats.org/officeDocument/2006/relationships/image" Target="../media/image45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4.emf" /><Relationship Id="rId9" Type="http://schemas.openxmlformats.org/officeDocument/2006/relationships/image" Target="../media/image8.emf" /><Relationship Id="rId10" Type="http://schemas.openxmlformats.org/officeDocument/2006/relationships/image" Target="../media/image7.emf" /><Relationship Id="rId11" Type="http://schemas.openxmlformats.org/officeDocument/2006/relationships/image" Target="../media/image9.emf" /><Relationship Id="rId12" Type="http://schemas.openxmlformats.org/officeDocument/2006/relationships/image" Target="../media/image6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6.emf" /><Relationship Id="rId18" Type="http://schemas.openxmlformats.org/officeDocument/2006/relationships/image" Target="../media/image1.emf" /><Relationship Id="rId19" Type="http://schemas.openxmlformats.org/officeDocument/2006/relationships/image" Target="../media/image2.emf" /><Relationship Id="rId20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40.emf" /><Relationship Id="rId3" Type="http://schemas.openxmlformats.org/officeDocument/2006/relationships/image" Target="../media/image49.emf" /><Relationship Id="rId4" Type="http://schemas.openxmlformats.org/officeDocument/2006/relationships/image" Target="../media/image51.emf" /><Relationship Id="rId5" Type="http://schemas.openxmlformats.org/officeDocument/2006/relationships/image" Target="../media/image10.emf" /><Relationship Id="rId6" Type="http://schemas.openxmlformats.org/officeDocument/2006/relationships/image" Target="../media/image8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7.emf" /><Relationship Id="rId3" Type="http://schemas.openxmlformats.org/officeDocument/2006/relationships/image" Target="../media/image1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1.emf" /><Relationship Id="rId8" Type="http://schemas.openxmlformats.org/officeDocument/2006/relationships/image" Target="../media/image4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6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4.emf" /><Relationship Id="rId15" Type="http://schemas.openxmlformats.org/officeDocument/2006/relationships/image" Target="../media/image6.emf" /><Relationship Id="rId16" Type="http://schemas.openxmlformats.org/officeDocument/2006/relationships/image" Target="../media/image2.emf" /><Relationship Id="rId17" Type="http://schemas.openxmlformats.org/officeDocument/2006/relationships/image" Target="../media/image15.emf" /><Relationship Id="rId18" Type="http://schemas.openxmlformats.org/officeDocument/2006/relationships/image" Target="../media/image1.emf" /><Relationship Id="rId19" Type="http://schemas.openxmlformats.org/officeDocument/2006/relationships/image" Target="../media/image2.emf" /><Relationship Id="rId20" Type="http://schemas.openxmlformats.org/officeDocument/2006/relationships/image" Target="../media/image15.emf" /><Relationship Id="rId21" Type="http://schemas.openxmlformats.org/officeDocument/2006/relationships/image" Target="../media/image1.emf" /><Relationship Id="rId22" Type="http://schemas.openxmlformats.org/officeDocument/2006/relationships/image" Target="../media/image2.emf" /><Relationship Id="rId23" Type="http://schemas.openxmlformats.org/officeDocument/2006/relationships/image" Target="../media/image15.emf" /><Relationship Id="rId24" Type="http://schemas.openxmlformats.org/officeDocument/2006/relationships/image" Target="../media/image24.emf" /><Relationship Id="rId25" Type="http://schemas.openxmlformats.org/officeDocument/2006/relationships/image" Target="../media/image24.emf" /><Relationship Id="rId26" Type="http://schemas.openxmlformats.org/officeDocument/2006/relationships/image" Target="../media/image24.emf" /><Relationship Id="rId27" Type="http://schemas.openxmlformats.org/officeDocument/2006/relationships/image" Target="../media/image29.emf" /><Relationship Id="rId28" Type="http://schemas.openxmlformats.org/officeDocument/2006/relationships/image" Target="../media/image29.emf" /><Relationship Id="rId29" Type="http://schemas.openxmlformats.org/officeDocument/2006/relationships/image" Target="../media/image2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23.emf" /><Relationship Id="rId5" Type="http://schemas.openxmlformats.org/officeDocument/2006/relationships/image" Target="../media/image25.emf" /><Relationship Id="rId6" Type="http://schemas.openxmlformats.org/officeDocument/2006/relationships/image" Target="../media/image18.emf" /><Relationship Id="rId7" Type="http://schemas.openxmlformats.org/officeDocument/2006/relationships/image" Target="../media/image23.emf" /><Relationship Id="rId8" Type="http://schemas.openxmlformats.org/officeDocument/2006/relationships/image" Target="../media/image25.emf" /><Relationship Id="rId9" Type="http://schemas.openxmlformats.org/officeDocument/2006/relationships/image" Target="../media/image18.emf" /><Relationship Id="rId10" Type="http://schemas.openxmlformats.org/officeDocument/2006/relationships/image" Target="../media/image23.emf" /><Relationship Id="rId11" Type="http://schemas.openxmlformats.org/officeDocument/2006/relationships/image" Target="../media/image25.emf" /><Relationship Id="rId12" Type="http://schemas.openxmlformats.org/officeDocument/2006/relationships/image" Target="../media/image18.emf" /><Relationship Id="rId13" Type="http://schemas.openxmlformats.org/officeDocument/2006/relationships/image" Target="../media/image27.emf" /><Relationship Id="rId14" Type="http://schemas.openxmlformats.org/officeDocument/2006/relationships/image" Target="../media/image28.emf" /><Relationship Id="rId15" Type="http://schemas.openxmlformats.org/officeDocument/2006/relationships/image" Target="../media/image31.emf" /><Relationship Id="rId16" Type="http://schemas.openxmlformats.org/officeDocument/2006/relationships/image" Target="../media/image27.emf" /><Relationship Id="rId17" Type="http://schemas.openxmlformats.org/officeDocument/2006/relationships/image" Target="../media/image28.emf" /><Relationship Id="rId18" Type="http://schemas.openxmlformats.org/officeDocument/2006/relationships/image" Target="../media/image31.emf" /><Relationship Id="rId19" Type="http://schemas.openxmlformats.org/officeDocument/2006/relationships/image" Target="../media/image27.emf" /><Relationship Id="rId20" Type="http://schemas.openxmlformats.org/officeDocument/2006/relationships/image" Target="../media/image28.emf" /><Relationship Id="rId21" Type="http://schemas.openxmlformats.org/officeDocument/2006/relationships/image" Target="../media/image31.emf" /><Relationship Id="rId22" Type="http://schemas.openxmlformats.org/officeDocument/2006/relationships/image" Target="../media/image20.emf" /><Relationship Id="rId23" Type="http://schemas.openxmlformats.org/officeDocument/2006/relationships/image" Target="../media/image20.emf" /><Relationship Id="rId24" Type="http://schemas.openxmlformats.org/officeDocument/2006/relationships/image" Target="../media/image20.emf" /><Relationship Id="rId25" Type="http://schemas.openxmlformats.org/officeDocument/2006/relationships/image" Target="../media/image34.emf" /><Relationship Id="rId26" Type="http://schemas.openxmlformats.org/officeDocument/2006/relationships/image" Target="../media/image33.emf" /><Relationship Id="rId27" Type="http://schemas.openxmlformats.org/officeDocument/2006/relationships/image" Target="../media/image41.emf" /><Relationship Id="rId28" Type="http://schemas.openxmlformats.org/officeDocument/2006/relationships/image" Target="../media/image34.emf" /><Relationship Id="rId29" Type="http://schemas.openxmlformats.org/officeDocument/2006/relationships/image" Target="../media/image33.emf" /><Relationship Id="rId30" Type="http://schemas.openxmlformats.org/officeDocument/2006/relationships/image" Target="../media/image41.emf" /><Relationship Id="rId31" Type="http://schemas.openxmlformats.org/officeDocument/2006/relationships/image" Target="../media/image34.emf" /><Relationship Id="rId32" Type="http://schemas.openxmlformats.org/officeDocument/2006/relationships/image" Target="../media/image33.emf" /><Relationship Id="rId33" Type="http://schemas.openxmlformats.org/officeDocument/2006/relationships/image" Target="../media/image41.emf" /><Relationship Id="rId34" Type="http://schemas.openxmlformats.org/officeDocument/2006/relationships/image" Target="../media/image3.emf" /><Relationship Id="rId35" Type="http://schemas.openxmlformats.org/officeDocument/2006/relationships/image" Target="../media/image3.emf" /><Relationship Id="rId36" Type="http://schemas.openxmlformats.org/officeDocument/2006/relationships/image" Target="../media/image3.emf" /><Relationship Id="rId37" Type="http://schemas.openxmlformats.org/officeDocument/2006/relationships/image" Target="../media/image6.emf" /><Relationship Id="rId38" Type="http://schemas.openxmlformats.org/officeDocument/2006/relationships/image" Target="../media/image6.emf" /><Relationship Id="rId39" Type="http://schemas.openxmlformats.org/officeDocument/2006/relationships/image" Target="../media/image6.emf" /><Relationship Id="rId40" Type="http://schemas.openxmlformats.org/officeDocument/2006/relationships/image" Target="../media/image6.emf" /><Relationship Id="rId41" Type="http://schemas.openxmlformats.org/officeDocument/2006/relationships/image" Target="../media/image6.emf" /><Relationship Id="rId42" Type="http://schemas.openxmlformats.org/officeDocument/2006/relationships/image" Target="../media/image6.emf" /><Relationship Id="rId43" Type="http://schemas.openxmlformats.org/officeDocument/2006/relationships/image" Target="../media/image35.emf" /><Relationship Id="rId44" Type="http://schemas.openxmlformats.org/officeDocument/2006/relationships/image" Target="../media/image35.emf" /><Relationship Id="rId45" Type="http://schemas.openxmlformats.org/officeDocument/2006/relationships/image" Target="../media/image35.emf" /><Relationship Id="rId46" Type="http://schemas.openxmlformats.org/officeDocument/2006/relationships/image" Target="../media/image50.emf" /><Relationship Id="rId47" Type="http://schemas.openxmlformats.org/officeDocument/2006/relationships/image" Target="../media/image50.emf" /><Relationship Id="rId48" Type="http://schemas.openxmlformats.org/officeDocument/2006/relationships/image" Target="../media/image50.emf" /><Relationship Id="rId49" Type="http://schemas.openxmlformats.org/officeDocument/2006/relationships/image" Target="../media/image37.emf" /><Relationship Id="rId50" Type="http://schemas.openxmlformats.org/officeDocument/2006/relationships/image" Target="../media/image37.emf" /><Relationship Id="rId51" Type="http://schemas.openxmlformats.org/officeDocument/2006/relationships/image" Target="../media/image37.emf" /><Relationship Id="rId52" Type="http://schemas.openxmlformats.org/officeDocument/2006/relationships/image" Target="../media/image38.emf" /><Relationship Id="rId53" Type="http://schemas.openxmlformats.org/officeDocument/2006/relationships/image" Target="../media/image39.emf" /><Relationship Id="rId54" Type="http://schemas.openxmlformats.org/officeDocument/2006/relationships/image" Target="../media/image38.emf" /><Relationship Id="rId55" Type="http://schemas.openxmlformats.org/officeDocument/2006/relationships/image" Target="../media/image39.emf" /><Relationship Id="rId56" Type="http://schemas.openxmlformats.org/officeDocument/2006/relationships/image" Target="../media/image38.emf" /><Relationship Id="rId57" Type="http://schemas.openxmlformats.org/officeDocument/2006/relationships/image" Target="../media/image39.emf" /><Relationship Id="rId58" Type="http://schemas.openxmlformats.org/officeDocument/2006/relationships/image" Target="../media/image42.emf" /><Relationship Id="rId59" Type="http://schemas.openxmlformats.org/officeDocument/2006/relationships/image" Target="../media/image43.emf" /><Relationship Id="rId60" Type="http://schemas.openxmlformats.org/officeDocument/2006/relationships/image" Target="../media/image42.emf" /><Relationship Id="rId61" Type="http://schemas.openxmlformats.org/officeDocument/2006/relationships/image" Target="../media/image43.emf" /><Relationship Id="rId62" Type="http://schemas.openxmlformats.org/officeDocument/2006/relationships/image" Target="../media/image42.emf" /><Relationship Id="rId63" Type="http://schemas.openxmlformats.org/officeDocument/2006/relationships/image" Target="../media/image43.emf" /><Relationship Id="rId64" Type="http://schemas.openxmlformats.org/officeDocument/2006/relationships/image" Target="../media/image44.emf" /><Relationship Id="rId65" Type="http://schemas.openxmlformats.org/officeDocument/2006/relationships/image" Target="../media/image44.emf" /><Relationship Id="rId66" Type="http://schemas.openxmlformats.org/officeDocument/2006/relationships/image" Target="../media/image44.emf" /><Relationship Id="rId67" Type="http://schemas.openxmlformats.org/officeDocument/2006/relationships/image" Target="../media/image36.emf" /><Relationship Id="rId68" Type="http://schemas.openxmlformats.org/officeDocument/2006/relationships/image" Target="../media/image36.emf" /><Relationship Id="rId69" Type="http://schemas.openxmlformats.org/officeDocument/2006/relationships/image" Target="../media/image36.emf" /><Relationship Id="rId70" Type="http://schemas.openxmlformats.org/officeDocument/2006/relationships/image" Target="../media/image6.emf" /><Relationship Id="rId71" Type="http://schemas.openxmlformats.org/officeDocument/2006/relationships/image" Target="../media/image6.emf" /><Relationship Id="rId72" Type="http://schemas.openxmlformats.org/officeDocument/2006/relationships/image" Target="../media/image6.emf" /><Relationship Id="rId73" Type="http://schemas.openxmlformats.org/officeDocument/2006/relationships/image" Target="../media/image6.emf" /><Relationship Id="rId74" Type="http://schemas.openxmlformats.org/officeDocument/2006/relationships/image" Target="../media/image6.emf" /><Relationship Id="rId75" Type="http://schemas.openxmlformats.org/officeDocument/2006/relationships/image" Target="../media/image6.emf" /><Relationship Id="rId76" Type="http://schemas.openxmlformats.org/officeDocument/2006/relationships/image" Target="../media/image47.emf" /><Relationship Id="rId77" Type="http://schemas.openxmlformats.org/officeDocument/2006/relationships/image" Target="../media/image47.emf" /><Relationship Id="rId78" Type="http://schemas.openxmlformats.org/officeDocument/2006/relationships/image" Target="../media/image47.emf" /><Relationship Id="rId79" Type="http://schemas.openxmlformats.org/officeDocument/2006/relationships/image" Target="../media/image26.emf" /><Relationship Id="rId80" Type="http://schemas.openxmlformats.org/officeDocument/2006/relationships/image" Target="../media/image48.emf" /><Relationship Id="rId81" Type="http://schemas.openxmlformats.org/officeDocument/2006/relationships/image" Target="../media/image26.emf" /><Relationship Id="rId82" Type="http://schemas.openxmlformats.org/officeDocument/2006/relationships/image" Target="../media/image48.emf" /><Relationship Id="rId83" Type="http://schemas.openxmlformats.org/officeDocument/2006/relationships/image" Target="../media/image26.emf" /><Relationship Id="rId84" Type="http://schemas.openxmlformats.org/officeDocument/2006/relationships/image" Target="../media/image48.emf" /><Relationship Id="rId85" Type="http://schemas.openxmlformats.org/officeDocument/2006/relationships/image" Target="../media/image52.emf" /><Relationship Id="rId86" Type="http://schemas.openxmlformats.org/officeDocument/2006/relationships/image" Target="../media/image52.emf" /><Relationship Id="rId87" Type="http://schemas.openxmlformats.org/officeDocument/2006/relationships/image" Target="../media/image52.emf" /><Relationship Id="rId88" Type="http://schemas.openxmlformats.org/officeDocument/2006/relationships/image" Target="../media/image52.emf" /><Relationship Id="rId89" Type="http://schemas.openxmlformats.org/officeDocument/2006/relationships/image" Target="../media/image52.emf" /><Relationship Id="rId90" Type="http://schemas.openxmlformats.org/officeDocument/2006/relationships/image" Target="../media/image52.emf" /><Relationship Id="rId91" Type="http://schemas.openxmlformats.org/officeDocument/2006/relationships/image" Target="../media/image19.emf" /><Relationship Id="rId92" Type="http://schemas.openxmlformats.org/officeDocument/2006/relationships/image" Target="../media/image19.emf" /><Relationship Id="rId93" Type="http://schemas.openxmlformats.org/officeDocument/2006/relationships/image" Target="../media/image19.emf" /><Relationship Id="rId94" Type="http://schemas.openxmlformats.org/officeDocument/2006/relationships/image" Target="../media/image54.emf" /><Relationship Id="rId95" Type="http://schemas.openxmlformats.org/officeDocument/2006/relationships/image" Target="../media/image54.emf" /><Relationship Id="rId96" Type="http://schemas.openxmlformats.org/officeDocument/2006/relationships/image" Target="../media/image54.emf" /><Relationship Id="rId97" Type="http://schemas.openxmlformats.org/officeDocument/2006/relationships/image" Target="../media/image55.emf" /><Relationship Id="rId98" Type="http://schemas.openxmlformats.org/officeDocument/2006/relationships/image" Target="../media/image55.emf" /><Relationship Id="rId99" Type="http://schemas.openxmlformats.org/officeDocument/2006/relationships/image" Target="../media/image55.emf" /><Relationship Id="rId100" Type="http://schemas.openxmlformats.org/officeDocument/2006/relationships/image" Target="../media/image56.emf" /><Relationship Id="rId101" Type="http://schemas.openxmlformats.org/officeDocument/2006/relationships/image" Target="../media/image56.emf" /><Relationship Id="rId102" Type="http://schemas.openxmlformats.org/officeDocument/2006/relationships/image" Target="../media/image56.emf" /><Relationship Id="rId103" Type="http://schemas.openxmlformats.org/officeDocument/2006/relationships/image" Target="../media/image58.emf" /><Relationship Id="rId104" Type="http://schemas.openxmlformats.org/officeDocument/2006/relationships/image" Target="../media/image59.emf" /><Relationship Id="rId105" Type="http://schemas.openxmlformats.org/officeDocument/2006/relationships/image" Target="../media/image58.emf" /><Relationship Id="rId106" Type="http://schemas.openxmlformats.org/officeDocument/2006/relationships/image" Target="../media/image59.emf" /><Relationship Id="rId107" Type="http://schemas.openxmlformats.org/officeDocument/2006/relationships/image" Target="../media/image58.emf" /><Relationship Id="rId108" Type="http://schemas.openxmlformats.org/officeDocument/2006/relationships/image" Target="../media/image59.emf" /><Relationship Id="rId109" Type="http://schemas.openxmlformats.org/officeDocument/2006/relationships/image" Target="../media/image91.emf" /><Relationship Id="rId110" Type="http://schemas.openxmlformats.org/officeDocument/2006/relationships/image" Target="../media/image91.emf" /><Relationship Id="rId111" Type="http://schemas.openxmlformats.org/officeDocument/2006/relationships/image" Target="../media/image91.emf" /><Relationship Id="rId112" Type="http://schemas.openxmlformats.org/officeDocument/2006/relationships/image" Target="../media/image6.emf" /><Relationship Id="rId113" Type="http://schemas.openxmlformats.org/officeDocument/2006/relationships/image" Target="../media/image6.emf" /><Relationship Id="rId114" Type="http://schemas.openxmlformats.org/officeDocument/2006/relationships/image" Target="../media/image6.emf" /><Relationship Id="rId115" Type="http://schemas.openxmlformats.org/officeDocument/2006/relationships/image" Target="../media/image6.emf" /><Relationship Id="rId116" Type="http://schemas.openxmlformats.org/officeDocument/2006/relationships/image" Target="../media/image6.emf" /><Relationship Id="rId117" Type="http://schemas.openxmlformats.org/officeDocument/2006/relationships/image" Target="../media/image6.emf" /><Relationship Id="rId118" Type="http://schemas.openxmlformats.org/officeDocument/2006/relationships/image" Target="../media/image30.emf" /><Relationship Id="rId119" Type="http://schemas.openxmlformats.org/officeDocument/2006/relationships/image" Target="../media/image30.emf" /><Relationship Id="rId120" Type="http://schemas.openxmlformats.org/officeDocument/2006/relationships/image" Target="../media/image30.emf" /><Relationship Id="rId121" Type="http://schemas.openxmlformats.org/officeDocument/2006/relationships/image" Target="../media/image60.emf" /><Relationship Id="rId122" Type="http://schemas.openxmlformats.org/officeDocument/2006/relationships/image" Target="../media/image60.emf" /><Relationship Id="rId123" Type="http://schemas.openxmlformats.org/officeDocument/2006/relationships/image" Target="../media/image60.emf" /><Relationship Id="rId124" Type="http://schemas.openxmlformats.org/officeDocument/2006/relationships/image" Target="../media/image61.emf" /><Relationship Id="rId125" Type="http://schemas.openxmlformats.org/officeDocument/2006/relationships/image" Target="../media/image61.emf" /><Relationship Id="rId126" Type="http://schemas.openxmlformats.org/officeDocument/2006/relationships/image" Target="../media/image61.emf" /><Relationship Id="rId127" Type="http://schemas.openxmlformats.org/officeDocument/2006/relationships/image" Target="../media/image46.emf" /><Relationship Id="rId128" Type="http://schemas.openxmlformats.org/officeDocument/2006/relationships/image" Target="../media/image53.emf" /><Relationship Id="rId129" Type="http://schemas.openxmlformats.org/officeDocument/2006/relationships/image" Target="../media/image53.emf" /><Relationship Id="rId130" Type="http://schemas.openxmlformats.org/officeDocument/2006/relationships/image" Target="../media/image65.emf" /><Relationship Id="rId131" Type="http://schemas.openxmlformats.org/officeDocument/2006/relationships/image" Target="../media/image64.emf" /><Relationship Id="rId132" Type="http://schemas.openxmlformats.org/officeDocument/2006/relationships/image" Target="../media/image6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3.emf" /><Relationship Id="rId2" Type="http://schemas.openxmlformats.org/officeDocument/2006/relationships/image" Target="../media/image70.emf" /><Relationship Id="rId3" Type="http://schemas.openxmlformats.org/officeDocument/2006/relationships/image" Target="../media/image63.emf" /><Relationship Id="rId4" Type="http://schemas.openxmlformats.org/officeDocument/2006/relationships/image" Target="../media/image74.emf" /><Relationship Id="rId5" Type="http://schemas.openxmlformats.org/officeDocument/2006/relationships/image" Target="../media/image72.emf" /><Relationship Id="rId6" Type="http://schemas.openxmlformats.org/officeDocument/2006/relationships/image" Target="../media/image66.emf" /><Relationship Id="rId7" Type="http://schemas.openxmlformats.org/officeDocument/2006/relationships/image" Target="../media/image68.emf" /><Relationship Id="rId8" Type="http://schemas.openxmlformats.org/officeDocument/2006/relationships/image" Target="../media/image66.emf" /><Relationship Id="rId9" Type="http://schemas.openxmlformats.org/officeDocument/2006/relationships/image" Target="../media/image68.emf" /><Relationship Id="rId10" Type="http://schemas.openxmlformats.org/officeDocument/2006/relationships/image" Target="../media/image67.emf" /><Relationship Id="rId11" Type="http://schemas.openxmlformats.org/officeDocument/2006/relationships/image" Target="../media/image71.emf" /><Relationship Id="rId12" Type="http://schemas.openxmlformats.org/officeDocument/2006/relationships/image" Target="../media/image72.emf" /><Relationship Id="rId13" Type="http://schemas.openxmlformats.org/officeDocument/2006/relationships/image" Target="../media/image71.emf" /><Relationship Id="rId14" Type="http://schemas.openxmlformats.org/officeDocument/2006/relationships/image" Target="../media/image72.emf" /><Relationship Id="rId15" Type="http://schemas.openxmlformats.org/officeDocument/2006/relationships/image" Target="../media/image69.emf" /><Relationship Id="rId16" Type="http://schemas.openxmlformats.org/officeDocument/2006/relationships/image" Target="../media/image76.emf" /><Relationship Id="rId17" Type="http://schemas.openxmlformats.org/officeDocument/2006/relationships/image" Target="../media/image75.emf" /><Relationship Id="rId18" Type="http://schemas.openxmlformats.org/officeDocument/2006/relationships/image" Target="../media/image78.emf" /><Relationship Id="rId19" Type="http://schemas.openxmlformats.org/officeDocument/2006/relationships/image" Target="../media/image77.emf" /><Relationship Id="rId20" Type="http://schemas.openxmlformats.org/officeDocument/2006/relationships/image" Target="../media/image79.emf" /><Relationship Id="rId21" Type="http://schemas.openxmlformats.org/officeDocument/2006/relationships/image" Target="../media/image80.emf" /><Relationship Id="rId22" Type="http://schemas.openxmlformats.org/officeDocument/2006/relationships/image" Target="../media/image69.emf" /><Relationship Id="rId23" Type="http://schemas.openxmlformats.org/officeDocument/2006/relationships/image" Target="../media/image76.emf" /><Relationship Id="rId24" Type="http://schemas.openxmlformats.org/officeDocument/2006/relationships/image" Target="../media/image75.emf" /><Relationship Id="rId25" Type="http://schemas.openxmlformats.org/officeDocument/2006/relationships/image" Target="../media/image78.emf" /><Relationship Id="rId26" Type="http://schemas.openxmlformats.org/officeDocument/2006/relationships/image" Target="../media/image77.emf" /><Relationship Id="rId27" Type="http://schemas.openxmlformats.org/officeDocument/2006/relationships/image" Target="../media/image79.emf" /><Relationship Id="rId28" Type="http://schemas.openxmlformats.org/officeDocument/2006/relationships/image" Target="../media/image80.emf" /><Relationship Id="rId29" Type="http://schemas.openxmlformats.org/officeDocument/2006/relationships/image" Target="../media/image69.emf" /><Relationship Id="rId30" Type="http://schemas.openxmlformats.org/officeDocument/2006/relationships/image" Target="../media/image76.emf" /><Relationship Id="rId31" Type="http://schemas.openxmlformats.org/officeDocument/2006/relationships/image" Target="../media/image75.emf" /><Relationship Id="rId32" Type="http://schemas.openxmlformats.org/officeDocument/2006/relationships/image" Target="../media/image78.emf" /><Relationship Id="rId33" Type="http://schemas.openxmlformats.org/officeDocument/2006/relationships/image" Target="../media/image77.emf" /><Relationship Id="rId34" Type="http://schemas.openxmlformats.org/officeDocument/2006/relationships/image" Target="../media/image79.emf" /><Relationship Id="rId35" Type="http://schemas.openxmlformats.org/officeDocument/2006/relationships/image" Target="../media/image8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81.emf" /><Relationship Id="rId2" Type="http://schemas.openxmlformats.org/officeDocument/2006/relationships/image" Target="../media/image87.emf" /><Relationship Id="rId3" Type="http://schemas.openxmlformats.org/officeDocument/2006/relationships/image" Target="../media/image83.emf" /><Relationship Id="rId4" Type="http://schemas.openxmlformats.org/officeDocument/2006/relationships/image" Target="../media/image86.emf" /><Relationship Id="rId5" Type="http://schemas.openxmlformats.org/officeDocument/2006/relationships/image" Target="../media/image83.emf" /><Relationship Id="rId6" Type="http://schemas.openxmlformats.org/officeDocument/2006/relationships/image" Target="../media/image84.emf" /><Relationship Id="rId7" Type="http://schemas.openxmlformats.org/officeDocument/2006/relationships/image" Target="../media/image83.emf" /><Relationship Id="rId8" Type="http://schemas.openxmlformats.org/officeDocument/2006/relationships/image" Target="../media/image85.emf" /><Relationship Id="rId9" Type="http://schemas.openxmlformats.org/officeDocument/2006/relationships/image" Target="../media/image83.emf" /><Relationship Id="rId10" Type="http://schemas.openxmlformats.org/officeDocument/2006/relationships/image" Target="../media/image8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38</xdr:row>
      <xdr:rowOff>9525</xdr:rowOff>
    </xdr:from>
    <xdr:to>
      <xdr:col>3</xdr:col>
      <xdr:colOff>438150</xdr:colOff>
      <xdr:row>38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8674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0.06</cdr:y>
    </cdr:from>
    <cdr:to>
      <cdr:x>0.10075</cdr:x>
      <cdr:y>0.1235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238125"/>
          <a:ext cx="695325" cy="257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0.80275</cdr:x>
      <cdr:y>0.89925</cdr:y>
    </cdr:from>
    <cdr:to>
      <cdr:x>0.8715</cdr:x>
      <cdr:y>0.96275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229350" y="3648075"/>
          <a:ext cx="533400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0.0475</cdr:y>
    </cdr:from>
    <cdr:to>
      <cdr:x>0.10375</cdr:x>
      <cdr:y>0.09875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" y="228600"/>
          <a:ext cx="438150" cy="257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0.76175</cdr:x>
      <cdr:y>0.9255</cdr:y>
    </cdr:from>
    <cdr:to>
      <cdr:x>0.831</cdr:x>
      <cdr:y>0.975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5857875" y="4629150"/>
          <a:ext cx="53340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0.05325</cdr:y>
    </cdr:from>
    <cdr:to>
      <cdr:x>0.0805</cdr:x>
      <cdr:y>0.10825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228600"/>
          <a:ext cx="476250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0.786</cdr:x>
      <cdr:y>0.929</cdr:y>
    </cdr:from>
    <cdr:to>
      <cdr:x>0.85575</cdr:x>
      <cdr:y>0.99075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010275" y="4010025"/>
          <a:ext cx="533400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0.04175</cdr:y>
    </cdr:from>
    <cdr:to>
      <cdr:x>0.07375</cdr:x>
      <cdr:y>0.093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200025"/>
          <a:ext cx="447675" cy="247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0.78225</cdr:x>
      <cdr:y>0.93175</cdr:y>
    </cdr:from>
    <cdr:to>
      <cdr:x>0.85175</cdr:x>
      <cdr:y>0.983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010275" y="4495800"/>
          <a:ext cx="53340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228600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85725" y="57150"/>
        <a:ext cx="77628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95250</xdr:rowOff>
    </xdr:from>
    <xdr:to>
      <xdr:col>10</xdr:col>
      <xdr:colOff>247650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95250" y="4343400"/>
        <a:ext cx="777240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56</xdr:row>
      <xdr:rowOff>57150</xdr:rowOff>
    </xdr:from>
    <xdr:to>
      <xdr:col>10</xdr:col>
      <xdr:colOff>190500</xdr:colOff>
      <xdr:row>86</xdr:row>
      <xdr:rowOff>19050</xdr:rowOff>
    </xdr:to>
    <xdr:graphicFrame>
      <xdr:nvGraphicFramePr>
        <xdr:cNvPr id="3" name="Chart 3"/>
        <xdr:cNvGraphicFramePr/>
      </xdr:nvGraphicFramePr>
      <xdr:xfrm>
        <a:off x="85725" y="9163050"/>
        <a:ext cx="772477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87</xdr:row>
      <xdr:rowOff>19050</xdr:rowOff>
    </xdr:from>
    <xdr:to>
      <xdr:col>10</xdr:col>
      <xdr:colOff>142875</xdr:colOff>
      <xdr:row>118</xdr:row>
      <xdr:rowOff>9525</xdr:rowOff>
    </xdr:to>
    <xdr:graphicFrame>
      <xdr:nvGraphicFramePr>
        <xdr:cNvPr id="4" name="Chart 6"/>
        <xdr:cNvGraphicFramePr/>
      </xdr:nvGraphicFramePr>
      <xdr:xfrm>
        <a:off x="66675" y="14144625"/>
        <a:ext cx="7696200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119</xdr:row>
      <xdr:rowOff>28575</xdr:rowOff>
    </xdr:from>
    <xdr:to>
      <xdr:col>10</xdr:col>
      <xdr:colOff>142875</xdr:colOff>
      <xdr:row>145</xdr:row>
      <xdr:rowOff>142875</xdr:rowOff>
    </xdr:to>
    <xdr:graphicFrame>
      <xdr:nvGraphicFramePr>
        <xdr:cNvPr id="5" name="Chart 7"/>
        <xdr:cNvGraphicFramePr/>
      </xdr:nvGraphicFramePr>
      <xdr:xfrm>
        <a:off x="104775" y="19335750"/>
        <a:ext cx="7658100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147</xdr:row>
      <xdr:rowOff>19050</xdr:rowOff>
    </xdr:from>
    <xdr:to>
      <xdr:col>10</xdr:col>
      <xdr:colOff>161925</xdr:colOff>
      <xdr:row>176</xdr:row>
      <xdr:rowOff>152400</xdr:rowOff>
    </xdr:to>
    <xdr:graphicFrame>
      <xdr:nvGraphicFramePr>
        <xdr:cNvPr id="6" name="Chart 8"/>
        <xdr:cNvGraphicFramePr/>
      </xdr:nvGraphicFramePr>
      <xdr:xfrm>
        <a:off x="95250" y="23860125"/>
        <a:ext cx="7686675" cy="4829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0.446</cdr:y>
    </cdr:from>
    <cdr:to>
      <cdr:x>0.76775</cdr:x>
      <cdr:y>0.44775</cdr:y>
    </cdr:to>
    <cdr:sp>
      <cdr:nvSpPr>
        <cdr:cNvPr id="1" name="Line 1"/>
        <cdr:cNvSpPr>
          <a:spLocks/>
        </cdr:cNvSpPr>
      </cdr:nvSpPr>
      <cdr:spPr>
        <a:xfrm>
          <a:off x="390525" y="2486025"/>
          <a:ext cx="59626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0.76775</cdr:x>
      <cdr:y>0.44775</cdr:y>
    </cdr:from>
    <cdr:to>
      <cdr:x>0.76875</cdr:x>
      <cdr:y>0.93225</cdr:y>
    </cdr:to>
    <cdr:sp>
      <cdr:nvSpPr>
        <cdr:cNvPr id="2" name="Line 3"/>
        <cdr:cNvSpPr>
          <a:spLocks/>
        </cdr:cNvSpPr>
      </cdr:nvSpPr>
      <cdr:spPr>
        <a:xfrm>
          <a:off x="6353175" y="2495550"/>
          <a:ext cx="9525" cy="2705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45</xdr:col>
      <xdr:colOff>152400</xdr:colOff>
      <xdr:row>34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82962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45</xdr:col>
      <xdr:colOff>152400</xdr:colOff>
      <xdr:row>69</xdr:row>
      <xdr:rowOff>123825</xdr:rowOff>
    </xdr:to>
    <xdr:graphicFrame>
      <xdr:nvGraphicFramePr>
        <xdr:cNvPr id="2" name="Chart 9"/>
        <xdr:cNvGraphicFramePr/>
      </xdr:nvGraphicFramePr>
      <xdr:xfrm>
        <a:off x="0" y="5695950"/>
        <a:ext cx="82962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45</xdr:col>
      <xdr:colOff>142875</xdr:colOff>
      <xdr:row>104</xdr:row>
      <xdr:rowOff>123825</xdr:rowOff>
    </xdr:to>
    <xdr:graphicFrame>
      <xdr:nvGraphicFramePr>
        <xdr:cNvPr id="3" name="Chart 12"/>
        <xdr:cNvGraphicFramePr/>
      </xdr:nvGraphicFramePr>
      <xdr:xfrm>
        <a:off x="0" y="11353800"/>
        <a:ext cx="8286750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105</xdr:row>
      <xdr:rowOff>38100</xdr:rowOff>
    </xdr:from>
    <xdr:to>
      <xdr:col>45</xdr:col>
      <xdr:colOff>142875</xdr:colOff>
      <xdr:row>139</xdr:row>
      <xdr:rowOff>133350</xdr:rowOff>
    </xdr:to>
    <xdr:graphicFrame>
      <xdr:nvGraphicFramePr>
        <xdr:cNvPr id="4" name="Chart 15"/>
        <xdr:cNvGraphicFramePr/>
      </xdr:nvGraphicFramePr>
      <xdr:xfrm>
        <a:off x="0" y="17040225"/>
        <a:ext cx="8286750" cy="560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140</xdr:row>
      <xdr:rowOff>38100</xdr:rowOff>
    </xdr:from>
    <xdr:to>
      <xdr:col>45</xdr:col>
      <xdr:colOff>133350</xdr:colOff>
      <xdr:row>174</xdr:row>
      <xdr:rowOff>114300</xdr:rowOff>
    </xdr:to>
    <xdr:graphicFrame>
      <xdr:nvGraphicFramePr>
        <xdr:cNvPr id="5" name="Chart 20"/>
        <xdr:cNvGraphicFramePr/>
      </xdr:nvGraphicFramePr>
      <xdr:xfrm>
        <a:off x="0" y="22707600"/>
        <a:ext cx="8277225" cy="558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vmlDrawing" Target="../drawings/vmlDrawing3.vml" /><Relationship Id="rId3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oleObject" Target="../embeddings/oleObject_3_22.bin" /><Relationship Id="rId24" Type="http://schemas.openxmlformats.org/officeDocument/2006/relationships/oleObject" Target="../embeddings/oleObject_3_23.bin" /><Relationship Id="rId25" Type="http://schemas.openxmlformats.org/officeDocument/2006/relationships/oleObject" Target="../embeddings/oleObject_3_24.bin" /><Relationship Id="rId26" Type="http://schemas.openxmlformats.org/officeDocument/2006/relationships/oleObject" Target="../embeddings/oleObject_3_25.bin" /><Relationship Id="rId27" Type="http://schemas.openxmlformats.org/officeDocument/2006/relationships/oleObject" Target="../embeddings/oleObject_3_26.bin" /><Relationship Id="rId28" Type="http://schemas.openxmlformats.org/officeDocument/2006/relationships/oleObject" Target="../embeddings/oleObject_3_27.bin" /><Relationship Id="rId29" Type="http://schemas.openxmlformats.org/officeDocument/2006/relationships/oleObject" Target="../embeddings/oleObject_3_28.bin" /><Relationship Id="rId30" Type="http://schemas.openxmlformats.org/officeDocument/2006/relationships/oleObject" Target="../embeddings/oleObject_3_29.bin" /><Relationship Id="rId31" Type="http://schemas.openxmlformats.org/officeDocument/2006/relationships/oleObject" Target="../embeddings/oleObject_3_30.bin" /><Relationship Id="rId32" Type="http://schemas.openxmlformats.org/officeDocument/2006/relationships/oleObject" Target="../embeddings/oleObject_3_31.bin" /><Relationship Id="rId33" Type="http://schemas.openxmlformats.org/officeDocument/2006/relationships/oleObject" Target="../embeddings/oleObject_3_32.bin" /><Relationship Id="rId34" Type="http://schemas.openxmlformats.org/officeDocument/2006/relationships/oleObject" Target="../embeddings/oleObject_3_33.bin" /><Relationship Id="rId35" Type="http://schemas.openxmlformats.org/officeDocument/2006/relationships/oleObject" Target="../embeddings/oleObject_3_34.bin" /><Relationship Id="rId36" Type="http://schemas.openxmlformats.org/officeDocument/2006/relationships/oleObject" Target="../embeddings/oleObject_3_35.bin" /><Relationship Id="rId37" Type="http://schemas.openxmlformats.org/officeDocument/2006/relationships/oleObject" Target="../embeddings/oleObject_3_36.bin" /><Relationship Id="rId38" Type="http://schemas.openxmlformats.org/officeDocument/2006/relationships/oleObject" Target="../embeddings/oleObject_3_37.bin" /><Relationship Id="rId39" Type="http://schemas.openxmlformats.org/officeDocument/2006/relationships/oleObject" Target="../embeddings/oleObject_3_38.bin" /><Relationship Id="rId40" Type="http://schemas.openxmlformats.org/officeDocument/2006/relationships/oleObject" Target="../embeddings/oleObject_3_39.bin" /><Relationship Id="rId41" Type="http://schemas.openxmlformats.org/officeDocument/2006/relationships/oleObject" Target="../embeddings/oleObject_3_40.bin" /><Relationship Id="rId42" Type="http://schemas.openxmlformats.org/officeDocument/2006/relationships/oleObject" Target="../embeddings/oleObject_3_41.bin" /><Relationship Id="rId43" Type="http://schemas.openxmlformats.org/officeDocument/2006/relationships/oleObject" Target="../embeddings/oleObject_3_42.bin" /><Relationship Id="rId44" Type="http://schemas.openxmlformats.org/officeDocument/2006/relationships/oleObject" Target="../embeddings/oleObject_3_43.bin" /><Relationship Id="rId45" Type="http://schemas.openxmlformats.org/officeDocument/2006/relationships/oleObject" Target="../embeddings/oleObject_3_44.bin" /><Relationship Id="rId46" Type="http://schemas.openxmlformats.org/officeDocument/2006/relationships/oleObject" Target="../embeddings/oleObject_3_45.bin" /><Relationship Id="rId47" Type="http://schemas.openxmlformats.org/officeDocument/2006/relationships/oleObject" Target="../embeddings/oleObject_3_46.bin" /><Relationship Id="rId48" Type="http://schemas.openxmlformats.org/officeDocument/2006/relationships/oleObject" Target="../embeddings/oleObject_3_47.bin" /><Relationship Id="rId49" Type="http://schemas.openxmlformats.org/officeDocument/2006/relationships/oleObject" Target="../embeddings/oleObject_3_48.bin" /><Relationship Id="rId50" Type="http://schemas.openxmlformats.org/officeDocument/2006/relationships/oleObject" Target="../embeddings/oleObject_3_49.bin" /><Relationship Id="rId51" Type="http://schemas.openxmlformats.org/officeDocument/2006/relationships/oleObject" Target="../embeddings/oleObject_3_50.bin" /><Relationship Id="rId52" Type="http://schemas.openxmlformats.org/officeDocument/2006/relationships/oleObject" Target="../embeddings/oleObject_3_51.bin" /><Relationship Id="rId53" Type="http://schemas.openxmlformats.org/officeDocument/2006/relationships/oleObject" Target="../embeddings/oleObject_3_52.bin" /><Relationship Id="rId54" Type="http://schemas.openxmlformats.org/officeDocument/2006/relationships/oleObject" Target="../embeddings/oleObject_3_53.bin" /><Relationship Id="rId55" Type="http://schemas.openxmlformats.org/officeDocument/2006/relationships/oleObject" Target="../embeddings/oleObject_3_54.bin" /><Relationship Id="rId56" Type="http://schemas.openxmlformats.org/officeDocument/2006/relationships/oleObject" Target="../embeddings/oleObject_3_55.bin" /><Relationship Id="rId57" Type="http://schemas.openxmlformats.org/officeDocument/2006/relationships/oleObject" Target="../embeddings/oleObject_3_56.bin" /><Relationship Id="rId58" Type="http://schemas.openxmlformats.org/officeDocument/2006/relationships/oleObject" Target="../embeddings/oleObject_3_57.bin" /><Relationship Id="rId59" Type="http://schemas.openxmlformats.org/officeDocument/2006/relationships/oleObject" Target="../embeddings/oleObject_3_58.bin" /><Relationship Id="rId60" Type="http://schemas.openxmlformats.org/officeDocument/2006/relationships/oleObject" Target="../embeddings/oleObject_3_59.bin" /><Relationship Id="rId61" Type="http://schemas.openxmlformats.org/officeDocument/2006/relationships/oleObject" Target="../embeddings/oleObject_3_60.bin" /><Relationship Id="rId62" Type="http://schemas.openxmlformats.org/officeDocument/2006/relationships/oleObject" Target="../embeddings/oleObject_3_61.bin" /><Relationship Id="rId63" Type="http://schemas.openxmlformats.org/officeDocument/2006/relationships/oleObject" Target="../embeddings/oleObject_3_62.bin" /><Relationship Id="rId64" Type="http://schemas.openxmlformats.org/officeDocument/2006/relationships/oleObject" Target="../embeddings/oleObject_3_63.bin" /><Relationship Id="rId65" Type="http://schemas.openxmlformats.org/officeDocument/2006/relationships/oleObject" Target="../embeddings/oleObject_3_64.bin" /><Relationship Id="rId66" Type="http://schemas.openxmlformats.org/officeDocument/2006/relationships/oleObject" Target="../embeddings/oleObject_3_65.bin" /><Relationship Id="rId67" Type="http://schemas.openxmlformats.org/officeDocument/2006/relationships/oleObject" Target="../embeddings/oleObject_3_66.bin" /><Relationship Id="rId68" Type="http://schemas.openxmlformats.org/officeDocument/2006/relationships/oleObject" Target="../embeddings/oleObject_3_67.bin" /><Relationship Id="rId69" Type="http://schemas.openxmlformats.org/officeDocument/2006/relationships/oleObject" Target="../embeddings/oleObject_3_68.bin" /><Relationship Id="rId70" Type="http://schemas.openxmlformats.org/officeDocument/2006/relationships/oleObject" Target="../embeddings/oleObject_3_69.bin" /><Relationship Id="rId71" Type="http://schemas.openxmlformats.org/officeDocument/2006/relationships/oleObject" Target="../embeddings/oleObject_3_70.bin" /><Relationship Id="rId72" Type="http://schemas.openxmlformats.org/officeDocument/2006/relationships/oleObject" Target="../embeddings/oleObject_3_71.bin" /><Relationship Id="rId73" Type="http://schemas.openxmlformats.org/officeDocument/2006/relationships/oleObject" Target="../embeddings/oleObject_3_72.bin" /><Relationship Id="rId74" Type="http://schemas.openxmlformats.org/officeDocument/2006/relationships/oleObject" Target="../embeddings/oleObject_3_73.bin" /><Relationship Id="rId75" Type="http://schemas.openxmlformats.org/officeDocument/2006/relationships/oleObject" Target="../embeddings/oleObject_3_74.bin" /><Relationship Id="rId76" Type="http://schemas.openxmlformats.org/officeDocument/2006/relationships/oleObject" Target="../embeddings/oleObject_3_75.bin" /><Relationship Id="rId77" Type="http://schemas.openxmlformats.org/officeDocument/2006/relationships/oleObject" Target="../embeddings/oleObject_3_76.bin" /><Relationship Id="rId78" Type="http://schemas.openxmlformats.org/officeDocument/2006/relationships/oleObject" Target="../embeddings/oleObject_3_77.bin" /><Relationship Id="rId79" Type="http://schemas.openxmlformats.org/officeDocument/2006/relationships/oleObject" Target="../embeddings/oleObject_3_78.bin" /><Relationship Id="rId80" Type="http://schemas.openxmlformats.org/officeDocument/2006/relationships/oleObject" Target="../embeddings/oleObject_3_79.bin" /><Relationship Id="rId81" Type="http://schemas.openxmlformats.org/officeDocument/2006/relationships/oleObject" Target="../embeddings/oleObject_3_80.bin" /><Relationship Id="rId82" Type="http://schemas.openxmlformats.org/officeDocument/2006/relationships/oleObject" Target="../embeddings/oleObject_3_81.bin" /><Relationship Id="rId83" Type="http://schemas.openxmlformats.org/officeDocument/2006/relationships/oleObject" Target="../embeddings/oleObject_3_82.bin" /><Relationship Id="rId84" Type="http://schemas.openxmlformats.org/officeDocument/2006/relationships/oleObject" Target="../embeddings/oleObject_3_83.bin" /><Relationship Id="rId85" Type="http://schemas.openxmlformats.org/officeDocument/2006/relationships/oleObject" Target="../embeddings/oleObject_3_84.bin" /><Relationship Id="rId86" Type="http://schemas.openxmlformats.org/officeDocument/2006/relationships/oleObject" Target="../embeddings/oleObject_3_85.bin" /><Relationship Id="rId87" Type="http://schemas.openxmlformats.org/officeDocument/2006/relationships/oleObject" Target="../embeddings/oleObject_3_86.bin" /><Relationship Id="rId88" Type="http://schemas.openxmlformats.org/officeDocument/2006/relationships/oleObject" Target="../embeddings/oleObject_3_87.bin" /><Relationship Id="rId89" Type="http://schemas.openxmlformats.org/officeDocument/2006/relationships/oleObject" Target="../embeddings/oleObject_3_88.bin" /><Relationship Id="rId90" Type="http://schemas.openxmlformats.org/officeDocument/2006/relationships/oleObject" Target="../embeddings/oleObject_3_89.bin" /><Relationship Id="rId91" Type="http://schemas.openxmlformats.org/officeDocument/2006/relationships/oleObject" Target="../embeddings/oleObject_3_90.bin" /><Relationship Id="rId92" Type="http://schemas.openxmlformats.org/officeDocument/2006/relationships/oleObject" Target="../embeddings/oleObject_3_91.bin" /><Relationship Id="rId93" Type="http://schemas.openxmlformats.org/officeDocument/2006/relationships/oleObject" Target="../embeddings/oleObject_3_92.bin" /><Relationship Id="rId94" Type="http://schemas.openxmlformats.org/officeDocument/2006/relationships/oleObject" Target="../embeddings/oleObject_3_93.bin" /><Relationship Id="rId95" Type="http://schemas.openxmlformats.org/officeDocument/2006/relationships/oleObject" Target="../embeddings/oleObject_3_94.bin" /><Relationship Id="rId96" Type="http://schemas.openxmlformats.org/officeDocument/2006/relationships/oleObject" Target="../embeddings/oleObject_3_95.bin" /><Relationship Id="rId97" Type="http://schemas.openxmlformats.org/officeDocument/2006/relationships/oleObject" Target="../embeddings/oleObject_3_96.bin" /><Relationship Id="rId98" Type="http://schemas.openxmlformats.org/officeDocument/2006/relationships/oleObject" Target="../embeddings/oleObject_3_97.bin" /><Relationship Id="rId99" Type="http://schemas.openxmlformats.org/officeDocument/2006/relationships/oleObject" Target="../embeddings/oleObject_3_98.bin" /><Relationship Id="rId100" Type="http://schemas.openxmlformats.org/officeDocument/2006/relationships/oleObject" Target="../embeddings/oleObject_3_99.bin" /><Relationship Id="rId101" Type="http://schemas.openxmlformats.org/officeDocument/2006/relationships/oleObject" Target="../embeddings/oleObject_3_100.bin" /><Relationship Id="rId102" Type="http://schemas.openxmlformats.org/officeDocument/2006/relationships/oleObject" Target="../embeddings/oleObject_3_101.bin" /><Relationship Id="rId103" Type="http://schemas.openxmlformats.org/officeDocument/2006/relationships/oleObject" Target="../embeddings/oleObject_3_102.bin" /><Relationship Id="rId104" Type="http://schemas.openxmlformats.org/officeDocument/2006/relationships/oleObject" Target="../embeddings/oleObject_3_103.bin" /><Relationship Id="rId105" Type="http://schemas.openxmlformats.org/officeDocument/2006/relationships/oleObject" Target="../embeddings/oleObject_3_104.bin" /><Relationship Id="rId106" Type="http://schemas.openxmlformats.org/officeDocument/2006/relationships/oleObject" Target="../embeddings/oleObject_3_105.bin" /><Relationship Id="rId107" Type="http://schemas.openxmlformats.org/officeDocument/2006/relationships/oleObject" Target="../embeddings/oleObject_3_106.bin" /><Relationship Id="rId108" Type="http://schemas.openxmlformats.org/officeDocument/2006/relationships/oleObject" Target="../embeddings/oleObject_3_107.bin" /><Relationship Id="rId109" Type="http://schemas.openxmlformats.org/officeDocument/2006/relationships/oleObject" Target="../embeddings/oleObject_3_108.bin" /><Relationship Id="rId110" Type="http://schemas.openxmlformats.org/officeDocument/2006/relationships/oleObject" Target="../embeddings/oleObject_3_109.bin" /><Relationship Id="rId111" Type="http://schemas.openxmlformats.org/officeDocument/2006/relationships/oleObject" Target="../embeddings/oleObject_3_110.bin" /><Relationship Id="rId112" Type="http://schemas.openxmlformats.org/officeDocument/2006/relationships/oleObject" Target="../embeddings/oleObject_3_111.bin" /><Relationship Id="rId113" Type="http://schemas.openxmlformats.org/officeDocument/2006/relationships/oleObject" Target="../embeddings/oleObject_3_112.bin" /><Relationship Id="rId114" Type="http://schemas.openxmlformats.org/officeDocument/2006/relationships/oleObject" Target="../embeddings/oleObject_3_113.bin" /><Relationship Id="rId115" Type="http://schemas.openxmlformats.org/officeDocument/2006/relationships/oleObject" Target="../embeddings/oleObject_3_114.bin" /><Relationship Id="rId116" Type="http://schemas.openxmlformats.org/officeDocument/2006/relationships/oleObject" Target="../embeddings/oleObject_3_115.bin" /><Relationship Id="rId117" Type="http://schemas.openxmlformats.org/officeDocument/2006/relationships/oleObject" Target="../embeddings/oleObject_3_116.bin" /><Relationship Id="rId118" Type="http://schemas.openxmlformats.org/officeDocument/2006/relationships/oleObject" Target="../embeddings/oleObject_3_117.bin" /><Relationship Id="rId119" Type="http://schemas.openxmlformats.org/officeDocument/2006/relationships/oleObject" Target="../embeddings/oleObject_3_118.bin" /><Relationship Id="rId120" Type="http://schemas.openxmlformats.org/officeDocument/2006/relationships/oleObject" Target="../embeddings/oleObject_3_119.bin" /><Relationship Id="rId121" Type="http://schemas.openxmlformats.org/officeDocument/2006/relationships/oleObject" Target="../embeddings/oleObject_3_120.bin" /><Relationship Id="rId122" Type="http://schemas.openxmlformats.org/officeDocument/2006/relationships/oleObject" Target="../embeddings/oleObject_3_121.bin" /><Relationship Id="rId123" Type="http://schemas.openxmlformats.org/officeDocument/2006/relationships/oleObject" Target="../embeddings/oleObject_3_122.bin" /><Relationship Id="rId124" Type="http://schemas.openxmlformats.org/officeDocument/2006/relationships/oleObject" Target="../embeddings/oleObject_3_123.bin" /><Relationship Id="rId125" Type="http://schemas.openxmlformats.org/officeDocument/2006/relationships/oleObject" Target="../embeddings/oleObject_3_124.bin" /><Relationship Id="rId126" Type="http://schemas.openxmlformats.org/officeDocument/2006/relationships/oleObject" Target="../embeddings/oleObject_3_125.bin" /><Relationship Id="rId127" Type="http://schemas.openxmlformats.org/officeDocument/2006/relationships/oleObject" Target="../embeddings/oleObject_3_126.bin" /><Relationship Id="rId128" Type="http://schemas.openxmlformats.org/officeDocument/2006/relationships/oleObject" Target="../embeddings/oleObject_3_127.bin" /><Relationship Id="rId129" Type="http://schemas.openxmlformats.org/officeDocument/2006/relationships/oleObject" Target="../embeddings/oleObject_3_128.bin" /><Relationship Id="rId130" Type="http://schemas.openxmlformats.org/officeDocument/2006/relationships/oleObject" Target="../embeddings/oleObject_3_129.bin" /><Relationship Id="rId131" Type="http://schemas.openxmlformats.org/officeDocument/2006/relationships/oleObject" Target="../embeddings/oleObject_3_130.bin" /><Relationship Id="rId132" Type="http://schemas.openxmlformats.org/officeDocument/2006/relationships/oleObject" Target="../embeddings/oleObject_3_131.bin" /><Relationship Id="rId133" Type="http://schemas.openxmlformats.org/officeDocument/2006/relationships/vmlDrawing" Target="../drawings/vmlDrawing4.vml" /><Relationship Id="rId13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oleObject" Target="../embeddings/oleObject_4_16.bin" /><Relationship Id="rId18" Type="http://schemas.openxmlformats.org/officeDocument/2006/relationships/oleObject" Target="../embeddings/oleObject_4_17.bin" /><Relationship Id="rId19" Type="http://schemas.openxmlformats.org/officeDocument/2006/relationships/oleObject" Target="../embeddings/oleObject_4_18.bin" /><Relationship Id="rId20" Type="http://schemas.openxmlformats.org/officeDocument/2006/relationships/oleObject" Target="../embeddings/oleObject_4_19.bin" /><Relationship Id="rId21" Type="http://schemas.openxmlformats.org/officeDocument/2006/relationships/oleObject" Target="../embeddings/oleObject_4_20.bin" /><Relationship Id="rId22" Type="http://schemas.openxmlformats.org/officeDocument/2006/relationships/oleObject" Target="../embeddings/oleObject_4_21.bin" /><Relationship Id="rId23" Type="http://schemas.openxmlformats.org/officeDocument/2006/relationships/oleObject" Target="../embeddings/oleObject_4_22.bin" /><Relationship Id="rId24" Type="http://schemas.openxmlformats.org/officeDocument/2006/relationships/oleObject" Target="../embeddings/oleObject_4_23.bin" /><Relationship Id="rId25" Type="http://schemas.openxmlformats.org/officeDocument/2006/relationships/oleObject" Target="../embeddings/oleObject_4_24.bin" /><Relationship Id="rId26" Type="http://schemas.openxmlformats.org/officeDocument/2006/relationships/oleObject" Target="../embeddings/oleObject_4_25.bin" /><Relationship Id="rId27" Type="http://schemas.openxmlformats.org/officeDocument/2006/relationships/oleObject" Target="../embeddings/oleObject_4_26.bin" /><Relationship Id="rId28" Type="http://schemas.openxmlformats.org/officeDocument/2006/relationships/oleObject" Target="../embeddings/oleObject_4_27.bin" /><Relationship Id="rId29" Type="http://schemas.openxmlformats.org/officeDocument/2006/relationships/oleObject" Target="../embeddings/oleObject_4_28.bin" /><Relationship Id="rId30" Type="http://schemas.openxmlformats.org/officeDocument/2006/relationships/oleObject" Target="../embeddings/oleObject_4_29.bin" /><Relationship Id="rId31" Type="http://schemas.openxmlformats.org/officeDocument/2006/relationships/oleObject" Target="../embeddings/oleObject_4_30.bin" /><Relationship Id="rId32" Type="http://schemas.openxmlformats.org/officeDocument/2006/relationships/oleObject" Target="../embeddings/oleObject_4_31.bin" /><Relationship Id="rId33" Type="http://schemas.openxmlformats.org/officeDocument/2006/relationships/oleObject" Target="../embeddings/oleObject_4_32.bin" /><Relationship Id="rId34" Type="http://schemas.openxmlformats.org/officeDocument/2006/relationships/oleObject" Target="../embeddings/oleObject_4_33.bin" /><Relationship Id="rId35" Type="http://schemas.openxmlformats.org/officeDocument/2006/relationships/oleObject" Target="../embeddings/oleObject_4_34.bin" /><Relationship Id="rId36" Type="http://schemas.openxmlformats.org/officeDocument/2006/relationships/vmlDrawing" Target="../drawings/vmlDrawing5.vm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vmlDrawing" Target="../drawings/vmlDrawing6.vml" /><Relationship Id="rId12" Type="http://schemas.openxmlformats.org/officeDocument/2006/relationships/drawing" Target="../drawings/drawing8.xml" /><Relationship Id="rId1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0">
      <selection activeCell="E40" sqref="E40"/>
    </sheetView>
  </sheetViews>
  <sheetFormatPr defaultColWidth="11.421875" defaultRowHeight="12.75"/>
  <cols>
    <col min="1" max="9" width="8.7109375" style="0" customWidth="1"/>
  </cols>
  <sheetData>
    <row r="1" spans="1:8" ht="12.75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 t="s">
        <v>9</v>
      </c>
    </row>
    <row r="2" spans="1:8" ht="12.75">
      <c r="A2" s="2" t="s">
        <v>5</v>
      </c>
      <c r="B2" s="2"/>
      <c r="C2" s="2" t="s">
        <v>3</v>
      </c>
      <c r="D2" s="2" t="s">
        <v>65</v>
      </c>
      <c r="E2" s="2" t="s">
        <v>6</v>
      </c>
      <c r="F2" s="2" t="s">
        <v>6</v>
      </c>
      <c r="G2" s="2" t="s">
        <v>7</v>
      </c>
      <c r="H2" s="2" t="s">
        <v>8</v>
      </c>
    </row>
    <row r="3" spans="1:8" ht="12.75">
      <c r="A3" s="3">
        <v>1</v>
      </c>
      <c r="B3" s="3">
        <v>2700</v>
      </c>
      <c r="C3" s="3" t="s">
        <v>4</v>
      </c>
      <c r="D3" s="40">
        <v>1E-14</v>
      </c>
      <c r="E3" s="6">
        <v>1E-05</v>
      </c>
      <c r="F3" s="6">
        <v>27.15</v>
      </c>
      <c r="G3" s="41">
        <v>31.5</v>
      </c>
      <c r="H3" s="6">
        <v>0.85</v>
      </c>
    </row>
    <row r="4" spans="1:8" ht="12.75">
      <c r="A4" s="3">
        <v>2</v>
      </c>
      <c r="B4" s="3">
        <v>2700</v>
      </c>
      <c r="C4" s="4"/>
      <c r="D4" s="40">
        <v>-0.4</v>
      </c>
      <c r="E4" s="6">
        <v>-0.04</v>
      </c>
      <c r="F4" s="6">
        <v>27.5</v>
      </c>
      <c r="G4" s="41">
        <v>31.5</v>
      </c>
      <c r="H4" s="6">
        <v>1.15</v>
      </c>
    </row>
    <row r="5" spans="1:8" ht="12.75">
      <c r="A5" s="3">
        <v>3</v>
      </c>
      <c r="B5" s="3">
        <v>2700</v>
      </c>
      <c r="C5" s="4"/>
      <c r="D5" s="40">
        <v>-1.3</v>
      </c>
      <c r="E5" s="6">
        <v>-0.14</v>
      </c>
      <c r="F5" s="6">
        <v>28</v>
      </c>
      <c r="G5" s="41">
        <v>32</v>
      </c>
      <c r="H5" s="6">
        <v>1.42</v>
      </c>
    </row>
    <row r="6" spans="1:8" ht="12.75">
      <c r="A6" s="3">
        <v>4</v>
      </c>
      <c r="B6" s="3">
        <v>2700</v>
      </c>
      <c r="C6" s="4"/>
      <c r="D6" s="40">
        <v>-3.3</v>
      </c>
      <c r="E6" s="6">
        <v>-0.37</v>
      </c>
      <c r="F6" s="6">
        <v>28.35</v>
      </c>
      <c r="G6" s="41">
        <v>31.5</v>
      </c>
      <c r="H6" s="6">
        <v>1.8</v>
      </c>
    </row>
    <row r="7" spans="1:8" ht="12.75">
      <c r="A7" s="3">
        <v>5</v>
      </c>
      <c r="B7" s="3">
        <v>2700</v>
      </c>
      <c r="C7" s="4"/>
      <c r="D7" s="40">
        <v>-7.5</v>
      </c>
      <c r="E7" s="6">
        <v>-0.86</v>
      </c>
      <c r="F7" s="6">
        <v>28.45</v>
      </c>
      <c r="G7" s="41">
        <v>31</v>
      </c>
      <c r="H7" s="6">
        <v>2.32</v>
      </c>
    </row>
    <row r="8" spans="1:8" ht="12.75">
      <c r="A8" s="3">
        <v>6</v>
      </c>
      <c r="B8" s="3">
        <v>2700</v>
      </c>
      <c r="C8" s="4"/>
      <c r="D8" s="40">
        <v>-13.9</v>
      </c>
      <c r="E8" s="6">
        <v>-1.56</v>
      </c>
      <c r="F8" s="6">
        <v>28.05</v>
      </c>
      <c r="G8" s="41">
        <v>30</v>
      </c>
      <c r="H8" s="6">
        <v>2.86</v>
      </c>
    </row>
    <row r="9" spans="1:8" ht="12.75">
      <c r="A9" s="3">
        <v>7</v>
      </c>
      <c r="B9" s="3">
        <v>2700</v>
      </c>
      <c r="C9" s="4"/>
      <c r="D9" s="40">
        <v>-26.5</v>
      </c>
      <c r="E9" s="6">
        <v>-2.94</v>
      </c>
      <c r="F9" s="6">
        <v>26.55</v>
      </c>
      <c r="G9" s="41">
        <v>29</v>
      </c>
      <c r="H9" s="6">
        <v>3.55</v>
      </c>
    </row>
    <row r="10" spans="1:8" ht="12.75">
      <c r="A10" s="3">
        <v>8</v>
      </c>
      <c r="B10" s="3">
        <v>2700</v>
      </c>
      <c r="C10" s="4"/>
      <c r="D10" s="40">
        <v>-45.8</v>
      </c>
      <c r="E10" s="6">
        <v>-5.06</v>
      </c>
      <c r="F10" s="6">
        <v>22.55</v>
      </c>
      <c r="G10" s="41">
        <v>28.5</v>
      </c>
      <c r="H10" s="6">
        <v>4.35</v>
      </c>
    </row>
    <row r="11" spans="1:8" ht="12.75">
      <c r="A11" s="3">
        <v>9</v>
      </c>
      <c r="B11" s="3">
        <v>2700</v>
      </c>
      <c r="C11" s="4"/>
      <c r="D11" s="40">
        <v>-72.5</v>
      </c>
      <c r="E11" s="6">
        <v>-7.98</v>
      </c>
      <c r="F11" s="6">
        <v>16.16</v>
      </c>
      <c r="G11" s="41">
        <v>28</v>
      </c>
      <c r="H11" s="6">
        <v>5.14</v>
      </c>
    </row>
    <row r="12" spans="1:8" ht="12.75">
      <c r="A12" s="3">
        <v>10</v>
      </c>
      <c r="B12" s="3">
        <v>2700</v>
      </c>
      <c r="C12" s="4"/>
      <c r="D12" s="40">
        <v>-107</v>
      </c>
      <c r="E12" s="6">
        <v>-11.77</v>
      </c>
      <c r="F12" s="6">
        <v>7.81</v>
      </c>
      <c r="G12" s="41">
        <v>28</v>
      </c>
      <c r="H12" s="6">
        <v>6.05</v>
      </c>
    </row>
    <row r="13" spans="1:8" ht="12.75">
      <c r="A13" s="3">
        <v>11</v>
      </c>
      <c r="B13" s="3">
        <v>2700</v>
      </c>
      <c r="C13" s="3" t="s">
        <v>10</v>
      </c>
      <c r="D13" s="40">
        <v>-133.7</v>
      </c>
      <c r="E13" s="6">
        <v>-14.68</v>
      </c>
      <c r="F13" s="6">
        <v>-0.1</v>
      </c>
      <c r="G13" s="41">
        <v>28</v>
      </c>
      <c r="H13" s="6">
        <v>6.55</v>
      </c>
    </row>
    <row r="15" spans="2:9" ht="12.75" hidden="1">
      <c r="B15" s="7">
        <v>999</v>
      </c>
      <c r="C15" s="10" t="s">
        <v>66</v>
      </c>
      <c r="E15" s="8">
        <v>23</v>
      </c>
      <c r="F15" s="10" t="s">
        <v>7</v>
      </c>
      <c r="H15" s="9">
        <v>50</v>
      </c>
      <c r="I15" s="10" t="s">
        <v>11</v>
      </c>
    </row>
    <row r="16" spans="2:5" ht="12.75">
      <c r="B16" s="7"/>
      <c r="E16" s="8"/>
    </row>
    <row r="17" spans="2:5" ht="12.75">
      <c r="B17" s="7"/>
      <c r="E17" s="7"/>
    </row>
    <row r="19" spans="1:8" ht="12.75">
      <c r="A19" s="2" t="s">
        <v>0</v>
      </c>
      <c r="B19" s="2" t="s">
        <v>1</v>
      </c>
      <c r="C19" s="2" t="s">
        <v>2</v>
      </c>
      <c r="D19" s="2"/>
      <c r="E19" s="2"/>
      <c r="F19" s="2"/>
      <c r="G19" s="2"/>
      <c r="H19" s="2" t="s">
        <v>9</v>
      </c>
    </row>
    <row r="20" spans="1:8" ht="12.75">
      <c r="A20" s="2" t="s">
        <v>5</v>
      </c>
      <c r="B20" s="2"/>
      <c r="C20" s="2" t="s">
        <v>3</v>
      </c>
      <c r="D20" s="2" t="s">
        <v>65</v>
      </c>
      <c r="E20" s="2" t="s">
        <v>6</v>
      </c>
      <c r="F20" s="2" t="s">
        <v>6</v>
      </c>
      <c r="G20" s="2" t="s">
        <v>7</v>
      </c>
      <c r="H20" s="2" t="s">
        <v>8</v>
      </c>
    </row>
    <row r="21" spans="1:8" ht="12.75">
      <c r="A21" s="3">
        <v>1</v>
      </c>
      <c r="B21" s="3">
        <v>2550</v>
      </c>
      <c r="C21" s="3" t="s">
        <v>4</v>
      </c>
      <c r="D21" s="6">
        <v>1E-14</v>
      </c>
      <c r="E21" s="6">
        <v>1E-05</v>
      </c>
      <c r="F21" s="6">
        <v>23.9</v>
      </c>
      <c r="G21" s="3">
        <v>34</v>
      </c>
      <c r="H21" s="6">
        <v>0.75</v>
      </c>
    </row>
    <row r="22" spans="1:8" ht="12.75">
      <c r="A22" s="3">
        <v>2</v>
      </c>
      <c r="B22" s="3">
        <v>2550</v>
      </c>
      <c r="C22" s="4"/>
      <c r="D22" s="40">
        <v>-0.4</v>
      </c>
      <c r="E22" s="6">
        <v>-0.03</v>
      </c>
      <c r="F22" s="6">
        <v>24.35</v>
      </c>
      <c r="G22" s="3">
        <v>34</v>
      </c>
      <c r="H22" s="6">
        <v>1</v>
      </c>
    </row>
    <row r="23" spans="1:8" ht="12.75">
      <c r="A23" s="3">
        <v>3</v>
      </c>
      <c r="B23" s="3">
        <v>2550</v>
      </c>
      <c r="C23" s="4"/>
      <c r="D23" s="40">
        <v>-1</v>
      </c>
      <c r="E23" s="6">
        <v>-0.11</v>
      </c>
      <c r="F23" s="6">
        <v>24.75</v>
      </c>
      <c r="G23" s="3">
        <v>33.5</v>
      </c>
      <c r="H23" s="6">
        <v>1.22</v>
      </c>
    </row>
    <row r="24" spans="1:8" ht="12.75">
      <c r="A24" s="3">
        <v>4</v>
      </c>
      <c r="B24" s="3">
        <v>2550</v>
      </c>
      <c r="C24" s="4"/>
      <c r="D24" s="40">
        <v>-2.9</v>
      </c>
      <c r="E24" s="6">
        <v>-0.32</v>
      </c>
      <c r="F24" s="6">
        <v>25.25</v>
      </c>
      <c r="G24" s="3">
        <v>32.5</v>
      </c>
      <c r="H24" s="6">
        <v>1.58</v>
      </c>
    </row>
    <row r="25" spans="1:8" ht="12.75">
      <c r="A25" s="3">
        <v>5</v>
      </c>
      <c r="B25" s="3">
        <v>2550</v>
      </c>
      <c r="C25" s="4"/>
      <c r="D25" s="40">
        <v>-6.7</v>
      </c>
      <c r="E25" s="6">
        <v>-0.75</v>
      </c>
      <c r="F25" s="6">
        <v>25.25</v>
      </c>
      <c r="G25" s="3">
        <v>31</v>
      </c>
      <c r="H25" s="6">
        <v>2.05</v>
      </c>
    </row>
    <row r="26" spans="1:8" ht="12.75">
      <c r="A26" s="3">
        <v>6</v>
      </c>
      <c r="B26" s="3">
        <v>2550</v>
      </c>
      <c r="C26" s="4"/>
      <c r="D26" s="40">
        <v>-12.6</v>
      </c>
      <c r="E26" s="6">
        <v>-1.41</v>
      </c>
      <c r="F26" s="6">
        <v>24.92</v>
      </c>
      <c r="G26" s="3">
        <v>30</v>
      </c>
      <c r="H26" s="6">
        <v>2.55</v>
      </c>
    </row>
    <row r="27" spans="1:8" ht="12.75">
      <c r="A27" s="3">
        <v>7</v>
      </c>
      <c r="B27" s="3">
        <v>2550</v>
      </c>
      <c r="C27" s="4"/>
      <c r="D27" s="40">
        <v>-23.2</v>
      </c>
      <c r="E27" s="6">
        <v>-2.59</v>
      </c>
      <c r="F27" s="6">
        <v>23.68</v>
      </c>
      <c r="G27" s="3">
        <v>29</v>
      </c>
      <c r="H27" s="6">
        <v>3.12</v>
      </c>
    </row>
    <row r="28" spans="1:8" ht="12.75">
      <c r="A28" s="3">
        <v>8</v>
      </c>
      <c r="B28" s="3">
        <v>2550</v>
      </c>
      <c r="C28" s="4"/>
      <c r="D28" s="40">
        <v>-40.8</v>
      </c>
      <c r="E28" s="6">
        <v>-4.52</v>
      </c>
      <c r="F28" s="6">
        <v>20.02</v>
      </c>
      <c r="G28" s="3">
        <v>29</v>
      </c>
      <c r="H28" s="6">
        <v>3.86</v>
      </c>
    </row>
    <row r="29" spans="1:8" ht="12.75">
      <c r="A29" s="3">
        <v>9</v>
      </c>
      <c r="B29" s="3">
        <v>2550</v>
      </c>
      <c r="C29" s="4"/>
      <c r="D29" s="40">
        <v>-64.2</v>
      </c>
      <c r="E29" s="6">
        <v>-7.09</v>
      </c>
      <c r="F29" s="6">
        <v>14.49</v>
      </c>
      <c r="G29" s="3">
        <v>28.5</v>
      </c>
      <c r="H29" s="6">
        <v>4.55</v>
      </c>
    </row>
    <row r="30" spans="1:8" ht="12.75">
      <c r="A30" s="3">
        <v>10</v>
      </c>
      <c r="B30" s="3">
        <v>2550</v>
      </c>
      <c r="C30" s="4"/>
      <c r="D30" s="40">
        <v>-96</v>
      </c>
      <c r="E30" s="6">
        <v>-10.55</v>
      </c>
      <c r="F30" s="6">
        <v>6.91</v>
      </c>
      <c r="G30" s="3">
        <v>28</v>
      </c>
      <c r="H30" s="6">
        <v>5.4</v>
      </c>
    </row>
    <row r="31" spans="1:8" ht="12.75">
      <c r="A31" s="3">
        <v>11</v>
      </c>
      <c r="B31" s="3">
        <v>2550</v>
      </c>
      <c r="C31" s="3" t="s">
        <v>10</v>
      </c>
      <c r="D31" s="40">
        <v>-119.5</v>
      </c>
      <c r="E31" s="6">
        <v>-13.14</v>
      </c>
      <c r="F31" s="6">
        <v>-0.1</v>
      </c>
      <c r="G31" s="3">
        <v>28</v>
      </c>
      <c r="H31" s="6">
        <v>5.82</v>
      </c>
    </row>
    <row r="33" spans="2:9" ht="12.75" hidden="1">
      <c r="B33" s="7">
        <v>999</v>
      </c>
      <c r="C33" s="10" t="s">
        <v>66</v>
      </c>
      <c r="E33" s="8">
        <v>23</v>
      </c>
      <c r="F33" s="10" t="s">
        <v>7</v>
      </c>
      <c r="H33" s="9">
        <v>50</v>
      </c>
      <c r="I33" s="10" t="s">
        <v>11</v>
      </c>
    </row>
    <row r="37" spans="1:8" ht="12.75">
      <c r="A37" s="2" t="s">
        <v>0</v>
      </c>
      <c r="B37" s="2" t="s">
        <v>1</v>
      </c>
      <c r="C37" s="2" t="s">
        <v>2</v>
      </c>
      <c r="D37" s="2"/>
      <c r="E37" s="2"/>
      <c r="F37" s="2"/>
      <c r="G37" s="2"/>
      <c r="H37" s="2" t="s">
        <v>9</v>
      </c>
    </row>
    <row r="38" spans="1:8" ht="12.75">
      <c r="A38" s="2" t="s">
        <v>5</v>
      </c>
      <c r="B38" s="2"/>
      <c r="C38" s="2" t="s">
        <v>3</v>
      </c>
      <c r="D38" s="2" t="s">
        <v>67</v>
      </c>
      <c r="E38" s="2" t="s">
        <v>6</v>
      </c>
      <c r="F38" s="2" t="s">
        <v>6</v>
      </c>
      <c r="G38" s="2" t="s">
        <v>7</v>
      </c>
      <c r="H38" s="2" t="s">
        <v>8</v>
      </c>
    </row>
    <row r="39" spans="1:8" ht="12.75">
      <c r="A39" s="3">
        <v>1</v>
      </c>
      <c r="B39" s="3">
        <v>2400</v>
      </c>
      <c r="C39" s="3" t="s">
        <v>4</v>
      </c>
      <c r="D39" s="6">
        <v>1E-14</v>
      </c>
      <c r="E39" s="6">
        <v>1E-05</v>
      </c>
      <c r="F39" s="6">
        <v>21.45</v>
      </c>
      <c r="G39" s="3">
        <v>31.5</v>
      </c>
      <c r="H39" s="5">
        <v>0.65</v>
      </c>
    </row>
    <row r="40" spans="1:8" ht="12.75">
      <c r="A40" s="3">
        <v>2</v>
      </c>
      <c r="B40" s="3">
        <v>2400</v>
      </c>
      <c r="C40" s="4"/>
      <c r="D40" s="6">
        <v>-0.3</v>
      </c>
      <c r="E40" s="6">
        <v>-0.03</v>
      </c>
      <c r="F40" s="6">
        <v>21.8</v>
      </c>
      <c r="G40" s="3">
        <v>31.5</v>
      </c>
      <c r="H40" s="5">
        <v>0.9</v>
      </c>
    </row>
    <row r="41" spans="1:8" ht="12.75">
      <c r="A41" s="3">
        <v>3</v>
      </c>
      <c r="B41" s="3">
        <v>2400</v>
      </c>
      <c r="C41" s="4"/>
      <c r="D41" s="6">
        <v>-1</v>
      </c>
      <c r="E41" s="6">
        <v>-0.11</v>
      </c>
      <c r="F41" s="6">
        <v>22.12</v>
      </c>
      <c r="G41" s="3">
        <v>31.5</v>
      </c>
      <c r="H41" s="5">
        <v>1.1</v>
      </c>
    </row>
    <row r="42" spans="1:8" ht="12.75">
      <c r="A42" s="3">
        <v>4</v>
      </c>
      <c r="B42" s="3">
        <v>2400</v>
      </c>
      <c r="C42" s="4"/>
      <c r="D42" s="6">
        <v>-2.5</v>
      </c>
      <c r="E42" s="6">
        <v>-0.28</v>
      </c>
      <c r="F42" s="6">
        <v>22.4</v>
      </c>
      <c r="G42" s="3">
        <v>31</v>
      </c>
      <c r="H42" s="5">
        <v>1.39</v>
      </c>
    </row>
    <row r="43" spans="1:8" ht="12.75">
      <c r="A43" s="3">
        <v>5</v>
      </c>
      <c r="B43" s="3">
        <v>2400</v>
      </c>
      <c r="C43" s="4"/>
      <c r="D43" s="6">
        <v>-6</v>
      </c>
      <c r="E43" s="6">
        <v>-0.67</v>
      </c>
      <c r="F43" s="6">
        <v>22.45</v>
      </c>
      <c r="G43" s="3">
        <v>30</v>
      </c>
      <c r="H43" s="5">
        <v>1.8</v>
      </c>
    </row>
    <row r="44" spans="1:8" ht="12.75">
      <c r="A44" s="3">
        <v>6</v>
      </c>
      <c r="B44" s="3">
        <v>2400</v>
      </c>
      <c r="C44" s="4"/>
      <c r="D44" s="6">
        <v>-11.3</v>
      </c>
      <c r="E44" s="6">
        <v>-1.27</v>
      </c>
      <c r="F44" s="6">
        <v>22.07</v>
      </c>
      <c r="G44" s="3">
        <v>29.5</v>
      </c>
      <c r="H44" s="5">
        <v>2.25</v>
      </c>
    </row>
    <row r="45" spans="1:8" ht="12.75">
      <c r="A45" s="3">
        <v>7</v>
      </c>
      <c r="B45" s="3">
        <v>2400</v>
      </c>
      <c r="C45" s="4"/>
      <c r="D45" s="6">
        <v>-21.2</v>
      </c>
      <c r="E45" s="6">
        <v>-2.36</v>
      </c>
      <c r="F45" s="6">
        <v>20.87</v>
      </c>
      <c r="G45" s="3">
        <v>29</v>
      </c>
      <c r="H45" s="5">
        <v>2.8</v>
      </c>
    </row>
    <row r="46" spans="1:8" ht="12.75">
      <c r="A46" s="3">
        <v>8</v>
      </c>
      <c r="B46" s="3">
        <v>2400</v>
      </c>
      <c r="C46" s="4"/>
      <c r="D46" s="6">
        <v>-36.5</v>
      </c>
      <c r="E46" s="6">
        <v>-4.04</v>
      </c>
      <c r="F46" s="6">
        <v>17.65</v>
      </c>
      <c r="G46" s="3">
        <v>28</v>
      </c>
      <c r="H46" s="5">
        <v>3.4</v>
      </c>
    </row>
    <row r="47" spans="1:8" ht="12.75">
      <c r="A47" s="3">
        <v>9</v>
      </c>
      <c r="B47" s="3">
        <v>2400</v>
      </c>
      <c r="C47" s="4"/>
      <c r="D47" s="6">
        <v>-57.9</v>
      </c>
      <c r="E47" s="6">
        <v>-6.39</v>
      </c>
      <c r="F47" s="6">
        <v>12.62</v>
      </c>
      <c r="G47" s="3">
        <v>28</v>
      </c>
      <c r="H47" s="5">
        <v>4.05</v>
      </c>
    </row>
    <row r="48" spans="1:8" ht="12.75">
      <c r="A48" s="3">
        <v>10</v>
      </c>
      <c r="B48" s="3">
        <v>2400</v>
      </c>
      <c r="C48" s="4"/>
      <c r="D48" s="6">
        <v>-84.7</v>
      </c>
      <c r="E48" s="6">
        <v>-9.33</v>
      </c>
      <c r="F48" s="6">
        <v>6.23</v>
      </c>
      <c r="G48" s="3">
        <v>27.5</v>
      </c>
      <c r="H48" s="5">
        <v>4.75</v>
      </c>
    </row>
    <row r="49" spans="1:8" ht="12.75">
      <c r="A49" s="3">
        <v>11</v>
      </c>
      <c r="B49" s="3">
        <v>2400</v>
      </c>
      <c r="C49" s="3" t="s">
        <v>10</v>
      </c>
      <c r="D49" s="6">
        <v>-106.5</v>
      </c>
      <c r="E49" s="6">
        <v>-11.71</v>
      </c>
      <c r="F49" s="6">
        <v>-0.12</v>
      </c>
      <c r="G49" s="3">
        <v>27.5</v>
      </c>
      <c r="H49" s="5">
        <v>5.2</v>
      </c>
    </row>
    <row r="51" spans="2:9" ht="12.75">
      <c r="B51" s="7">
        <v>999</v>
      </c>
      <c r="C51" s="10" t="s">
        <v>66</v>
      </c>
      <c r="E51" s="8">
        <v>23</v>
      </c>
      <c r="F51" s="10" t="s">
        <v>7</v>
      </c>
      <c r="H51" s="9">
        <v>50</v>
      </c>
      <c r="I51" s="10" t="s">
        <v>11</v>
      </c>
    </row>
  </sheetData>
  <printOptions/>
  <pageMargins left="0.75" right="0.75" top="1" bottom="1" header="0.4921259845" footer="0.4921259845"/>
  <pageSetup orientation="portrait" paperSize="9" r:id="rId22"/>
  <headerFooter alignWithMargins="0">
    <oddHeader>&amp;C&amp;A</oddHeader>
  </headerFooter>
  <legacyDrawing r:id="rId21"/>
  <oleObjects>
    <oleObject progId="Equation.3" shapeId="18748" r:id="rId1"/>
    <oleObject progId="Equation.3" shapeId="19731" r:id="rId2"/>
    <oleObject progId="Equation.3" shapeId="20964" r:id="rId3"/>
    <oleObject progId="Equation.3" shapeId="22819" r:id="rId4"/>
    <oleObject progId="Equation.3" shapeId="35613" r:id="rId5"/>
    <oleObject progId="Equation.3" shapeId="42898" r:id="rId6"/>
    <oleObject progId="Equation.3" shapeId="43164" r:id="rId7"/>
    <oleObject progId="Equation.3" shapeId="74259" r:id="rId8"/>
    <oleObject progId="Equation.3" shapeId="74260" r:id="rId9"/>
    <oleObject progId="Equation.3" shapeId="74261" r:id="rId10"/>
    <oleObject progId="Equation.3" shapeId="74262" r:id="rId11"/>
    <oleObject progId="Equation.3" shapeId="74263" r:id="rId12"/>
    <oleObject progId="Equation.3" shapeId="75933" r:id="rId13"/>
    <oleObject progId="Equation.3" shapeId="75934" r:id="rId14"/>
    <oleObject progId="Equation.3" shapeId="75936" r:id="rId15"/>
    <oleObject progId="Equation.3" shapeId="75937" r:id="rId16"/>
    <oleObject progId="Equation.3" shapeId="75938" r:id="rId17"/>
    <oleObject progId="Equation.3" shapeId="102785" r:id="rId18"/>
    <oleObject progId="Equation.3" shapeId="102786" r:id="rId19"/>
    <oleObject progId="Equation.3" shapeId="102787" r:id="rId2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22" sqref="D22"/>
    </sheetView>
  </sheetViews>
  <sheetFormatPr defaultColWidth="11.421875" defaultRowHeight="12.75"/>
  <cols>
    <col min="1" max="1" width="23.140625" style="0" bestFit="1" customWidth="1"/>
    <col min="4" max="4" width="23.57421875" style="1" customWidth="1"/>
  </cols>
  <sheetData>
    <row r="1" spans="1:4" ht="12.75">
      <c r="A1" s="2" t="s">
        <v>12</v>
      </c>
      <c r="B1" s="2" t="s">
        <v>15</v>
      </c>
      <c r="C1" s="2" t="s">
        <v>13</v>
      </c>
      <c r="D1" s="2" t="s">
        <v>14</v>
      </c>
    </row>
    <row r="2" spans="1:4" ht="12.75">
      <c r="A2" s="4" t="s">
        <v>68</v>
      </c>
      <c r="B2" s="4"/>
      <c r="C2">
        <v>9.786456</v>
      </c>
      <c r="D2" s="3"/>
    </row>
    <row r="3" spans="1:4" ht="12.75">
      <c r="A3" s="4" t="s">
        <v>20</v>
      </c>
      <c r="B3" s="4"/>
      <c r="C3" s="4">
        <v>287.2</v>
      </c>
      <c r="D3" s="3" t="s">
        <v>19</v>
      </c>
    </row>
    <row r="4" spans="1:4" ht="12.75">
      <c r="A4" s="4" t="s">
        <v>22</v>
      </c>
      <c r="B4" s="4"/>
      <c r="C4" s="4">
        <v>0.99</v>
      </c>
      <c r="D4" s="3"/>
    </row>
    <row r="5" spans="1:4" ht="12.75">
      <c r="A5" s="21" t="s">
        <v>23</v>
      </c>
      <c r="B5" s="3" t="s">
        <v>24</v>
      </c>
      <c r="C5" s="21">
        <v>0.2</v>
      </c>
      <c r="D5" s="3" t="s">
        <v>25</v>
      </c>
    </row>
    <row r="6" spans="1:4" ht="12.75">
      <c r="A6" s="21" t="s">
        <v>26</v>
      </c>
      <c r="B6" s="3" t="s">
        <v>27</v>
      </c>
      <c r="C6" s="21">
        <v>0.126</v>
      </c>
      <c r="D6" s="3" t="s">
        <v>25</v>
      </c>
    </row>
    <row r="7" spans="1:4" ht="12.75">
      <c r="A7" s="21" t="s">
        <v>28</v>
      </c>
      <c r="B7" s="3" t="s">
        <v>29</v>
      </c>
      <c r="C7" s="21">
        <v>0.24</v>
      </c>
      <c r="D7" s="3" t="s">
        <v>25</v>
      </c>
    </row>
    <row r="8" spans="1:4" ht="12.75">
      <c r="A8" s="21" t="s">
        <v>32</v>
      </c>
      <c r="B8" s="4"/>
      <c r="C8" s="4">
        <f>(C5*C5*PI())/4</f>
        <v>0.031415926535897934</v>
      </c>
      <c r="D8" s="3" t="s">
        <v>34</v>
      </c>
    </row>
    <row r="9" spans="1:4" ht="12.75">
      <c r="A9" s="21" t="s">
        <v>33</v>
      </c>
      <c r="B9" s="4"/>
      <c r="C9" s="4">
        <f>C6*C7</f>
        <v>0.03024</v>
      </c>
      <c r="D9" s="3" t="s">
        <v>34</v>
      </c>
    </row>
    <row r="10" spans="1:4" ht="12.75">
      <c r="A10" s="21" t="s">
        <v>38</v>
      </c>
      <c r="B10" s="23" t="s">
        <v>39</v>
      </c>
      <c r="C10" s="21">
        <v>0.5</v>
      </c>
      <c r="D10" s="3" t="s">
        <v>25</v>
      </c>
    </row>
    <row r="11" spans="1:4" ht="12.75">
      <c r="A11" s="21" t="s">
        <v>41</v>
      </c>
      <c r="B11" s="4"/>
      <c r="C11" s="4">
        <f>(2*C6*C7)/(C6+C7)</f>
        <v>0.16524590163934427</v>
      </c>
      <c r="D11" s="3" t="s">
        <v>25</v>
      </c>
    </row>
  </sheetData>
  <printOptions/>
  <pageMargins left="0.75" right="0.75" top="1" bottom="1" header="0.4921259845" footer="0.4921259845"/>
  <pageSetup orientation="portrait" paperSize="9" r:id="rId8"/>
  <headerFooter alignWithMargins="0">
    <oddHeader>&amp;C&amp;A</oddHeader>
  </headerFooter>
  <legacyDrawing r:id="rId7"/>
  <oleObjects>
    <oleObject progId="Equation.3" shapeId="242846" r:id="rId1"/>
    <oleObject progId="Equation.3" shapeId="366513" r:id="rId2"/>
    <oleObject progId="Equation.3" shapeId="534187" r:id="rId3"/>
    <oleObject progId="Equation.3" shapeId="534932" r:id="rId4"/>
    <oleObject progId="Equation.3" shapeId="637195" r:id="rId5"/>
    <oleObject progId="Equation.3" shapeId="229392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6">
      <selection activeCell="A40" sqref="A40:IV40"/>
    </sheetView>
  </sheetViews>
  <sheetFormatPr defaultColWidth="11.421875" defaultRowHeight="12.75"/>
  <cols>
    <col min="1" max="9" width="8.7109375" style="0" customWidth="1"/>
  </cols>
  <sheetData>
    <row r="1" spans="1:8" ht="12.75">
      <c r="A1" s="2" t="s">
        <v>0</v>
      </c>
      <c r="B1" s="2" t="s">
        <v>1</v>
      </c>
      <c r="C1" s="2" t="s">
        <v>2</v>
      </c>
      <c r="D1" s="2"/>
      <c r="E1" s="2"/>
      <c r="F1" s="2"/>
      <c r="G1" s="2"/>
      <c r="H1" s="2" t="s">
        <v>9</v>
      </c>
    </row>
    <row r="2" spans="1:8" ht="12.75">
      <c r="A2" s="2" t="s">
        <v>5</v>
      </c>
      <c r="B2" s="2"/>
      <c r="C2" s="2" t="s">
        <v>3</v>
      </c>
      <c r="D2" s="2" t="s">
        <v>16</v>
      </c>
      <c r="E2" s="2" t="s">
        <v>16</v>
      </c>
      <c r="F2" s="2" t="s">
        <v>16</v>
      </c>
      <c r="G2" s="2" t="s">
        <v>7</v>
      </c>
      <c r="H2" s="2" t="s">
        <v>17</v>
      </c>
    </row>
    <row r="3" spans="1:8" ht="12.75">
      <c r="A3" s="3">
        <f>Laborwerte!A3</f>
        <v>1</v>
      </c>
      <c r="B3" s="3">
        <f>Laborwerte!B3</f>
        <v>2700</v>
      </c>
      <c r="C3" s="3" t="str">
        <f>Laborwerte!C3</f>
        <v>zu</v>
      </c>
      <c r="D3" s="11">
        <f>Laborwerte!D3/1000*9.81*997.6</f>
        <v>9.786456000000001E-14</v>
      </c>
      <c r="E3" s="11">
        <f>Laborwerte!E3*100</f>
        <v>0.001</v>
      </c>
      <c r="F3" s="11">
        <f>2*Laborwerte!F3*100</f>
        <v>5430</v>
      </c>
      <c r="G3" s="3">
        <f>Laborwerte!G3</f>
        <v>31.5</v>
      </c>
      <c r="H3" s="6">
        <f>Laborwerte!H3*9.80665</f>
        <v>8.3356525</v>
      </c>
    </row>
    <row r="4" spans="1:8" ht="12.75">
      <c r="A4" s="3">
        <f>Laborwerte!A4</f>
        <v>2</v>
      </c>
      <c r="B4" s="3">
        <f>Laborwerte!B4</f>
        <v>2700</v>
      </c>
      <c r="C4" s="3"/>
      <c r="D4" s="11">
        <f>Laborwerte!D4/1000*9.81*997.6</f>
        <v>-3.9145824000000005</v>
      </c>
      <c r="E4" s="11">
        <f>Laborwerte!E4*100</f>
        <v>-4</v>
      </c>
      <c r="F4" s="11">
        <f>2*Laborwerte!F4*100</f>
        <v>5500</v>
      </c>
      <c r="G4" s="3">
        <f>Laborwerte!G4</f>
        <v>31.5</v>
      </c>
      <c r="H4" s="6">
        <f>Laborwerte!H4*9.80665</f>
        <v>11.277647499999999</v>
      </c>
    </row>
    <row r="5" spans="1:8" ht="12.75">
      <c r="A5" s="3">
        <f>Laborwerte!A5</f>
        <v>3</v>
      </c>
      <c r="B5" s="3">
        <f>Laborwerte!B5</f>
        <v>2700</v>
      </c>
      <c r="C5" s="3"/>
      <c r="D5" s="11">
        <f>Laborwerte!D5/1000*9.81*997.6</f>
        <v>-12.722392800000002</v>
      </c>
      <c r="E5" s="11">
        <f>Laborwerte!E5*100</f>
        <v>-14.000000000000002</v>
      </c>
      <c r="F5" s="11">
        <f>2*Laborwerte!F5*100</f>
        <v>5600</v>
      </c>
      <c r="G5" s="3">
        <f>Laborwerte!G5</f>
        <v>32</v>
      </c>
      <c r="H5" s="6">
        <f>Laborwerte!H5*9.80665</f>
        <v>13.925442999999998</v>
      </c>
    </row>
    <row r="6" spans="1:8" ht="12.75">
      <c r="A6" s="3">
        <f>Laborwerte!A6</f>
        <v>4</v>
      </c>
      <c r="B6" s="3">
        <f>Laborwerte!B6</f>
        <v>2700</v>
      </c>
      <c r="C6" s="3"/>
      <c r="D6" s="11">
        <f>Laborwerte!D6/1000*9.81*997.6</f>
        <v>-32.2953048</v>
      </c>
      <c r="E6" s="11">
        <f>Laborwerte!E6*100</f>
        <v>-37</v>
      </c>
      <c r="F6" s="11">
        <f>2*Laborwerte!F6*100</f>
        <v>5670</v>
      </c>
      <c r="G6" s="3">
        <f>Laborwerte!G6</f>
        <v>31.5</v>
      </c>
      <c r="H6" s="6">
        <f>Laborwerte!H6*9.80665</f>
        <v>17.65197</v>
      </c>
    </row>
    <row r="7" spans="1:8" ht="12.75">
      <c r="A7" s="3">
        <f>Laborwerte!A7</f>
        <v>5</v>
      </c>
      <c r="B7" s="3">
        <f>Laborwerte!B7</f>
        <v>2700</v>
      </c>
      <c r="C7" s="3"/>
      <c r="D7" s="11">
        <f>Laborwerte!D7/1000*9.81*997.6</f>
        <v>-73.39842</v>
      </c>
      <c r="E7" s="11">
        <f>Laborwerte!E7*100</f>
        <v>-86</v>
      </c>
      <c r="F7" s="11">
        <f>2*Laborwerte!F7*100</f>
        <v>5690</v>
      </c>
      <c r="G7" s="3">
        <f>Laborwerte!G7</f>
        <v>31</v>
      </c>
      <c r="H7" s="6">
        <f>Laborwerte!H7*9.80665</f>
        <v>22.751427999999997</v>
      </c>
    </row>
    <row r="8" spans="1:8" ht="12.75">
      <c r="A8" s="3">
        <f>Laborwerte!A8</f>
        <v>6</v>
      </c>
      <c r="B8" s="3">
        <f>Laborwerte!B8</f>
        <v>2700</v>
      </c>
      <c r="C8" s="3"/>
      <c r="D8" s="11">
        <f>Laborwerte!D8/1000*9.81*997.6</f>
        <v>-136.03173840000002</v>
      </c>
      <c r="E8" s="11">
        <f>Laborwerte!E8*100</f>
        <v>-156</v>
      </c>
      <c r="F8" s="11">
        <f>2*Laborwerte!F8*100</f>
        <v>5610</v>
      </c>
      <c r="G8" s="3">
        <f>Laborwerte!G8</f>
        <v>30</v>
      </c>
      <c r="H8" s="6">
        <f>Laborwerte!H8*9.80665</f>
        <v>28.047019</v>
      </c>
    </row>
    <row r="9" spans="1:8" ht="12.75">
      <c r="A9" s="3">
        <f>Laborwerte!A9</f>
        <v>7</v>
      </c>
      <c r="B9" s="3">
        <f>Laborwerte!B9</f>
        <v>2700</v>
      </c>
      <c r="C9" s="3"/>
      <c r="D9" s="11">
        <f>Laborwerte!D9/1000*9.81*997.6</f>
        <v>-259.341084</v>
      </c>
      <c r="E9" s="11">
        <f>Laborwerte!E9*100</f>
        <v>-294</v>
      </c>
      <c r="F9" s="11">
        <f>2*Laborwerte!F9*100</f>
        <v>5310</v>
      </c>
      <c r="G9" s="3">
        <f>Laborwerte!G9</f>
        <v>29</v>
      </c>
      <c r="H9" s="6">
        <f>Laborwerte!H9*9.80665</f>
        <v>34.813607499999996</v>
      </c>
    </row>
    <row r="10" spans="1:8" ht="12.75">
      <c r="A10" s="3">
        <f>Laborwerte!A10</f>
        <v>8</v>
      </c>
      <c r="B10" s="3">
        <f>Laborwerte!B10</f>
        <v>2700</v>
      </c>
      <c r="C10" s="3"/>
      <c r="D10" s="11">
        <f>Laborwerte!D10/1000*9.81*997.6</f>
        <v>-448.21968480000004</v>
      </c>
      <c r="E10" s="11">
        <f>Laborwerte!E10*100</f>
        <v>-505.99999999999994</v>
      </c>
      <c r="F10" s="11">
        <f>2*Laborwerte!F10*100</f>
        <v>4510</v>
      </c>
      <c r="G10" s="3">
        <f>Laborwerte!G10</f>
        <v>28.5</v>
      </c>
      <c r="H10" s="6">
        <f>Laborwerte!H10*9.80665</f>
        <v>42.6589275</v>
      </c>
    </row>
    <row r="11" spans="1:8" ht="12.75">
      <c r="A11" s="3">
        <f>Laborwerte!A11</f>
        <v>9</v>
      </c>
      <c r="B11" s="3">
        <f>Laborwerte!B11</f>
        <v>2700</v>
      </c>
      <c r="C11" s="3"/>
      <c r="D11" s="11">
        <f>Laborwerte!D11/1000*9.81*997.6</f>
        <v>-709.51806</v>
      </c>
      <c r="E11" s="11">
        <f>Laborwerte!E11*100</f>
        <v>-798</v>
      </c>
      <c r="F11" s="11">
        <f>2*Laborwerte!F11*100</f>
        <v>3232</v>
      </c>
      <c r="G11" s="3">
        <f>Laborwerte!G11</f>
        <v>28</v>
      </c>
      <c r="H11" s="6">
        <f>Laborwerte!H11*9.80665</f>
        <v>50.406181</v>
      </c>
    </row>
    <row r="12" spans="1:8" ht="12.75">
      <c r="A12" s="3">
        <f>Laborwerte!A12</f>
        <v>10</v>
      </c>
      <c r="B12" s="3">
        <f>Laborwerte!B12</f>
        <v>2700</v>
      </c>
      <c r="C12" s="3"/>
      <c r="D12" s="11">
        <f>Laborwerte!D12/1000*9.81*997.6</f>
        <v>-1047.1507920000001</v>
      </c>
      <c r="E12" s="11">
        <f>Laborwerte!E12*100</f>
        <v>-1177</v>
      </c>
      <c r="F12" s="11">
        <f>2*Laborwerte!F12*100</f>
        <v>1562</v>
      </c>
      <c r="G12" s="3">
        <f>Laborwerte!G12</f>
        <v>28</v>
      </c>
      <c r="H12" s="6">
        <f>Laborwerte!H12*9.80665</f>
        <v>59.330232499999994</v>
      </c>
    </row>
    <row r="13" spans="1:8" ht="12.75">
      <c r="A13" s="3">
        <f>Laborwerte!A13</f>
        <v>11</v>
      </c>
      <c r="B13" s="3">
        <f>Laborwerte!B13</f>
        <v>2700</v>
      </c>
      <c r="C13" s="3" t="str">
        <f>Laborwerte!C13</f>
        <v>auf</v>
      </c>
      <c r="D13" s="11">
        <f>Laborwerte!D13/1000*9.81*997.6</f>
        <v>-1308.4491672</v>
      </c>
      <c r="E13" s="11">
        <f>Laborwerte!E13*100</f>
        <v>-1468</v>
      </c>
      <c r="F13" s="11">
        <f>2*Laborwerte!F13*100</f>
        <v>-20</v>
      </c>
      <c r="G13" s="3">
        <f>Laborwerte!G13</f>
        <v>28</v>
      </c>
      <c r="H13" s="6">
        <f>Laborwerte!H13*9.80665</f>
        <v>64.23355749999999</v>
      </c>
    </row>
    <row r="15" spans="2:9" ht="12.75">
      <c r="B15" s="16">
        <v>99900</v>
      </c>
      <c r="C15" s="10" t="s">
        <v>16</v>
      </c>
      <c r="E15" s="8">
        <f>Laborwerte!E15</f>
        <v>23</v>
      </c>
      <c r="F15" s="10" t="s">
        <v>7</v>
      </c>
      <c r="H15" s="9">
        <f>Laborwerte!H15</f>
        <v>50</v>
      </c>
      <c r="I15" s="10" t="s">
        <v>11</v>
      </c>
    </row>
    <row r="16" spans="2:5" ht="12.75">
      <c r="B16">
        <v>2828</v>
      </c>
      <c r="C16" t="s">
        <v>16</v>
      </c>
      <c r="E16" s="8"/>
    </row>
    <row r="17" spans="2:5" ht="12.75">
      <c r="B17" s="7"/>
      <c r="E17" s="7"/>
    </row>
    <row r="19" spans="1:8" ht="12.75">
      <c r="A19" s="2" t="s">
        <v>0</v>
      </c>
      <c r="B19" s="2" t="s">
        <v>1</v>
      </c>
      <c r="C19" s="2" t="s">
        <v>2</v>
      </c>
      <c r="D19" s="2"/>
      <c r="E19" s="2"/>
      <c r="F19" s="2"/>
      <c r="G19" s="2"/>
      <c r="H19" s="2" t="s">
        <v>9</v>
      </c>
    </row>
    <row r="20" spans="1:8" ht="12.75">
      <c r="A20" s="2" t="s">
        <v>5</v>
      </c>
      <c r="B20" s="2"/>
      <c r="C20" s="2" t="s">
        <v>3</v>
      </c>
      <c r="D20" s="2" t="s">
        <v>16</v>
      </c>
      <c r="E20" s="2" t="s">
        <v>16</v>
      </c>
      <c r="F20" s="2" t="s">
        <v>16</v>
      </c>
      <c r="G20" s="2" t="s">
        <v>7</v>
      </c>
      <c r="H20" s="2" t="s">
        <v>17</v>
      </c>
    </row>
    <row r="21" spans="1:8" ht="12.75">
      <c r="A21" s="3">
        <f>Laborwerte!A21</f>
        <v>1</v>
      </c>
      <c r="B21" s="3">
        <f>Laborwerte!B21</f>
        <v>2550</v>
      </c>
      <c r="C21" s="3" t="str">
        <f>Laborwerte!C21</f>
        <v>zu</v>
      </c>
      <c r="D21" s="11">
        <f>Laborwerte!D21/1000*9.81*997.6</f>
        <v>9.786456000000001E-14</v>
      </c>
      <c r="E21" s="11">
        <f>Laborwerte!E21*100</f>
        <v>0.001</v>
      </c>
      <c r="F21" s="11">
        <f>2*Laborwerte!F21*100</f>
        <v>4780</v>
      </c>
      <c r="G21" s="3">
        <f>Laborwerte!G21</f>
        <v>34</v>
      </c>
      <c r="H21" s="6">
        <f>Laborwerte!H21*9.80665</f>
        <v>7.3549875</v>
      </c>
    </row>
    <row r="22" spans="1:8" ht="12.75">
      <c r="A22" s="3">
        <f>Laborwerte!A22</f>
        <v>2</v>
      </c>
      <c r="B22" s="3">
        <f>Laborwerte!B22</f>
        <v>2550</v>
      </c>
      <c r="C22" s="3"/>
      <c r="D22" s="11">
        <f>Laborwerte!D22/1000*9.81*997.6</f>
        <v>-3.9145824000000005</v>
      </c>
      <c r="E22" s="11">
        <f>Laborwerte!E22*100</f>
        <v>-3</v>
      </c>
      <c r="F22" s="11">
        <f>2*Laborwerte!F22*100</f>
        <v>4870</v>
      </c>
      <c r="G22" s="3">
        <f>Laborwerte!G22</f>
        <v>34</v>
      </c>
      <c r="H22" s="6">
        <f>Laborwerte!H22*9.80665</f>
        <v>9.80665</v>
      </c>
    </row>
    <row r="23" spans="1:8" ht="12.75">
      <c r="A23" s="3">
        <f>Laborwerte!A23</f>
        <v>3</v>
      </c>
      <c r="B23" s="3">
        <f>Laborwerte!B23</f>
        <v>2550</v>
      </c>
      <c r="C23" s="3"/>
      <c r="D23" s="11">
        <f>Laborwerte!D23/1000*9.81*997.6</f>
        <v>-9.786456000000001</v>
      </c>
      <c r="E23" s="11">
        <f>Laborwerte!E23*100</f>
        <v>-11</v>
      </c>
      <c r="F23" s="11">
        <f>2*Laborwerte!F23*100</f>
        <v>4950</v>
      </c>
      <c r="G23" s="3">
        <f>Laborwerte!G23</f>
        <v>33.5</v>
      </c>
      <c r="H23" s="6">
        <f>Laborwerte!H23*9.80665</f>
        <v>11.964113</v>
      </c>
    </row>
    <row r="24" spans="1:8" ht="12.75">
      <c r="A24" s="3">
        <f>Laborwerte!A24</f>
        <v>4</v>
      </c>
      <c r="B24" s="3">
        <f>Laborwerte!B24</f>
        <v>2550</v>
      </c>
      <c r="C24" s="3"/>
      <c r="D24" s="11">
        <f>Laborwerte!D24/1000*9.81*997.6</f>
        <v>-28.3807224</v>
      </c>
      <c r="E24" s="11">
        <f>Laborwerte!E24*100</f>
        <v>-32</v>
      </c>
      <c r="F24" s="11">
        <f>2*Laborwerte!F24*100</f>
        <v>5050</v>
      </c>
      <c r="G24" s="3">
        <f>Laborwerte!G24</f>
        <v>32.5</v>
      </c>
      <c r="H24" s="6">
        <f>Laborwerte!H24*9.80665</f>
        <v>15.494507</v>
      </c>
    </row>
    <row r="25" spans="1:8" ht="12.75">
      <c r="A25" s="3">
        <f>Laborwerte!A25</f>
        <v>5</v>
      </c>
      <c r="B25" s="3">
        <f>Laborwerte!B25</f>
        <v>2550</v>
      </c>
      <c r="C25" s="3"/>
      <c r="D25" s="11">
        <f>Laborwerte!D25/1000*9.81*997.6</f>
        <v>-65.56925520000001</v>
      </c>
      <c r="E25" s="11">
        <f>Laborwerte!E25*100</f>
        <v>-75</v>
      </c>
      <c r="F25" s="11">
        <f>2*Laborwerte!F25*100</f>
        <v>5050</v>
      </c>
      <c r="G25" s="3">
        <f>Laborwerte!G25</f>
        <v>31</v>
      </c>
      <c r="H25" s="6">
        <f>Laborwerte!H25*9.80665</f>
        <v>20.103632499999996</v>
      </c>
    </row>
    <row r="26" spans="1:8" ht="12.75">
      <c r="A26" s="3">
        <f>Laborwerte!A26</f>
        <v>6</v>
      </c>
      <c r="B26" s="3">
        <f>Laborwerte!B26</f>
        <v>2550</v>
      </c>
      <c r="C26" s="3"/>
      <c r="D26" s="11">
        <f>Laborwerte!D26/1000*9.81*997.6</f>
        <v>-123.30934560000001</v>
      </c>
      <c r="E26" s="11">
        <f>Laborwerte!E26*100</f>
        <v>-141</v>
      </c>
      <c r="F26" s="11">
        <f>2*Laborwerte!F26*100</f>
        <v>4984</v>
      </c>
      <c r="G26" s="3">
        <f>Laborwerte!G26</f>
        <v>30</v>
      </c>
      <c r="H26" s="6">
        <f>Laborwerte!H26*9.80665</f>
        <v>25.006957499999995</v>
      </c>
    </row>
    <row r="27" spans="1:8" ht="12.75">
      <c r="A27" s="3">
        <f>Laborwerte!A27</f>
        <v>7</v>
      </c>
      <c r="B27" s="3">
        <f>Laborwerte!B27</f>
        <v>2550</v>
      </c>
      <c r="C27" s="3"/>
      <c r="D27" s="11">
        <f>Laborwerte!D27/1000*9.81*997.6</f>
        <v>-227.0457792</v>
      </c>
      <c r="E27" s="11">
        <f>Laborwerte!E27*100</f>
        <v>-259</v>
      </c>
      <c r="F27" s="11">
        <f>2*Laborwerte!F27*100</f>
        <v>4736</v>
      </c>
      <c r="G27" s="3">
        <f>Laborwerte!G27</f>
        <v>29</v>
      </c>
      <c r="H27" s="6">
        <f>Laborwerte!H27*9.80665</f>
        <v>30.596747999999998</v>
      </c>
    </row>
    <row r="28" spans="1:8" ht="12.75">
      <c r="A28" s="3">
        <f>Laborwerte!A28</f>
        <v>8</v>
      </c>
      <c r="B28" s="3">
        <f>Laborwerte!B28</f>
        <v>2550</v>
      </c>
      <c r="C28" s="3"/>
      <c r="D28" s="11">
        <f>Laborwerte!D28/1000*9.81*997.6</f>
        <v>-399.2874048</v>
      </c>
      <c r="E28" s="11">
        <f>Laborwerte!E28*100</f>
        <v>-451.99999999999994</v>
      </c>
      <c r="F28" s="11">
        <f>2*Laborwerte!F28*100</f>
        <v>4004</v>
      </c>
      <c r="G28" s="3">
        <f>Laborwerte!G28</f>
        <v>29</v>
      </c>
      <c r="H28" s="6">
        <f>Laborwerte!H28*9.80665</f>
        <v>37.853669</v>
      </c>
    </row>
    <row r="29" spans="1:8" ht="12.75">
      <c r="A29" s="3">
        <f>Laborwerte!A29</f>
        <v>9</v>
      </c>
      <c r="B29" s="3">
        <f>Laborwerte!B29</f>
        <v>2550</v>
      </c>
      <c r="C29" s="3"/>
      <c r="D29" s="11">
        <f>Laborwerte!D29/1000*9.81*997.6</f>
        <v>-628.2904752000001</v>
      </c>
      <c r="E29" s="11">
        <f>Laborwerte!E29*100</f>
        <v>-709</v>
      </c>
      <c r="F29" s="11">
        <f>2*Laborwerte!F29*100</f>
        <v>2898</v>
      </c>
      <c r="G29" s="3">
        <f>Laborwerte!G29</f>
        <v>28.5</v>
      </c>
      <c r="H29" s="6">
        <f>Laborwerte!H29*9.80665</f>
        <v>44.620257499999994</v>
      </c>
    </row>
    <row r="30" spans="1:8" ht="12.75">
      <c r="A30" s="3">
        <f>Laborwerte!A30</f>
        <v>10</v>
      </c>
      <c r="B30" s="3">
        <f>Laborwerte!B30</f>
        <v>2550</v>
      </c>
      <c r="C30" s="3"/>
      <c r="D30" s="11">
        <f>Laborwerte!D30/1000*9.81*997.6</f>
        <v>-939.4997760000001</v>
      </c>
      <c r="E30" s="11">
        <f>Laborwerte!E30*100</f>
        <v>-1055</v>
      </c>
      <c r="F30" s="11">
        <f>2*Laborwerte!F30*100</f>
        <v>1382</v>
      </c>
      <c r="G30" s="3">
        <f>Laborwerte!G30</f>
        <v>28</v>
      </c>
      <c r="H30" s="6">
        <f>Laborwerte!H30*9.80665</f>
        <v>52.95591</v>
      </c>
    </row>
    <row r="31" spans="1:8" ht="12.75">
      <c r="A31" s="3">
        <f>Laborwerte!A31</f>
        <v>11</v>
      </c>
      <c r="B31" s="3">
        <f>Laborwerte!B31</f>
        <v>2550</v>
      </c>
      <c r="C31" s="3" t="str">
        <f>Laborwerte!C31</f>
        <v>auf</v>
      </c>
      <c r="D31" s="11">
        <f>Laborwerte!D31/1000*9.81*997.6</f>
        <v>-1169.4814920000001</v>
      </c>
      <c r="E31" s="11">
        <f>Laborwerte!E31*100</f>
        <v>-1314</v>
      </c>
      <c r="F31" s="11">
        <f>2*Laborwerte!F31*100</f>
        <v>-20</v>
      </c>
      <c r="G31" s="3">
        <f>Laborwerte!G31</f>
        <v>28</v>
      </c>
      <c r="H31" s="6">
        <f>Laborwerte!H31*9.80665</f>
        <v>57.074703</v>
      </c>
    </row>
    <row r="33" spans="2:9" ht="12.75">
      <c r="B33" s="16">
        <v>99900</v>
      </c>
      <c r="C33" s="10" t="s">
        <v>16</v>
      </c>
      <c r="E33" s="8">
        <f>Laborwerte!E33</f>
        <v>23</v>
      </c>
      <c r="F33" s="10" t="s">
        <v>7</v>
      </c>
      <c r="H33" s="9">
        <f>Laborwerte!H33</f>
        <v>50</v>
      </c>
      <c r="I33" s="10" t="s">
        <v>11</v>
      </c>
    </row>
    <row r="34" spans="2:3" ht="12.75">
      <c r="B34">
        <v>2828</v>
      </c>
      <c r="C34" t="s">
        <v>16</v>
      </c>
    </row>
    <row r="37" spans="1:8" ht="12.75">
      <c r="A37" s="2" t="s">
        <v>0</v>
      </c>
      <c r="B37" s="2" t="s">
        <v>1</v>
      </c>
      <c r="C37" s="2" t="s">
        <v>2</v>
      </c>
      <c r="D37" s="2"/>
      <c r="E37" s="2"/>
      <c r="F37" s="2"/>
      <c r="G37" s="2"/>
      <c r="H37" s="2" t="s">
        <v>9</v>
      </c>
    </row>
    <row r="38" spans="1:8" ht="12.75">
      <c r="A38" s="2" t="s">
        <v>5</v>
      </c>
      <c r="B38" s="2"/>
      <c r="C38" s="2" t="s">
        <v>3</v>
      </c>
      <c r="D38" s="2" t="s">
        <v>16</v>
      </c>
      <c r="E38" s="2" t="s">
        <v>16</v>
      </c>
      <c r="F38" s="2" t="s">
        <v>16</v>
      </c>
      <c r="G38" s="2" t="s">
        <v>7</v>
      </c>
      <c r="H38" s="2" t="s">
        <v>17</v>
      </c>
    </row>
    <row r="39" spans="1:8" ht="12.75">
      <c r="A39" s="3">
        <f>Laborwerte!A39</f>
        <v>1</v>
      </c>
      <c r="B39" s="3">
        <f>Laborwerte!B39</f>
        <v>2400</v>
      </c>
      <c r="C39" s="3" t="str">
        <f>Laborwerte!C39</f>
        <v>zu</v>
      </c>
      <c r="D39" s="11">
        <f>Laborwerte!D39/1000*9.81*997.6</f>
        <v>9.786456000000001E-14</v>
      </c>
      <c r="E39" s="11">
        <f>Laborwerte!E39*100</f>
        <v>0.001</v>
      </c>
      <c r="F39" s="11">
        <f>2*Laborwerte!F39*100</f>
        <v>4290</v>
      </c>
      <c r="G39" s="3">
        <f>Laborwerte!G39</f>
        <v>31.5</v>
      </c>
      <c r="H39" s="6">
        <f>Laborwerte!H39*9.80665</f>
        <v>6.3743225</v>
      </c>
    </row>
    <row r="40" spans="1:8" ht="12.75">
      <c r="A40" s="3">
        <f>Laborwerte!A40</f>
        <v>2</v>
      </c>
      <c r="B40" s="3">
        <f>Laborwerte!B40</f>
        <v>2400</v>
      </c>
      <c r="C40" s="3"/>
      <c r="D40" s="11">
        <f>Laborwerte!D40/1000*9.81*997.6</f>
        <v>-2.9359368</v>
      </c>
      <c r="E40" s="11">
        <f>Laborwerte!E40*100</f>
        <v>-3</v>
      </c>
      <c r="F40" s="11">
        <f>2*Laborwerte!F40*100</f>
        <v>4360</v>
      </c>
      <c r="G40" s="3">
        <f>Laborwerte!G40</f>
        <v>31.5</v>
      </c>
      <c r="H40" s="6">
        <f>Laborwerte!H40*9.80665</f>
        <v>8.825985</v>
      </c>
    </row>
    <row r="41" spans="1:8" ht="12.75">
      <c r="A41" s="3">
        <f>Laborwerte!A41</f>
        <v>3</v>
      </c>
      <c r="B41" s="3">
        <f>Laborwerte!B41</f>
        <v>2400</v>
      </c>
      <c r="C41" s="3"/>
      <c r="D41" s="11">
        <f>Laborwerte!D41/1000*9.81*997.6</f>
        <v>-9.786456000000001</v>
      </c>
      <c r="E41" s="11">
        <f>Laborwerte!E41*100</f>
        <v>-11</v>
      </c>
      <c r="F41" s="11">
        <f>2*Laborwerte!F41*100</f>
        <v>4424</v>
      </c>
      <c r="G41" s="3">
        <f>Laborwerte!G41</f>
        <v>31.5</v>
      </c>
      <c r="H41" s="6">
        <f>Laborwerte!H41*9.80665</f>
        <v>10.787315</v>
      </c>
    </row>
    <row r="42" spans="1:8" ht="12.75">
      <c r="A42" s="3">
        <f>Laborwerte!A42</f>
        <v>4</v>
      </c>
      <c r="B42" s="3">
        <f>Laborwerte!B42</f>
        <v>2400</v>
      </c>
      <c r="C42" s="3"/>
      <c r="D42" s="11">
        <f>Laborwerte!D42/1000*9.81*997.6</f>
        <v>-24.466140000000003</v>
      </c>
      <c r="E42" s="11">
        <f>Laborwerte!E42*100</f>
        <v>-28.000000000000004</v>
      </c>
      <c r="F42" s="11">
        <f>2*Laborwerte!F42*100</f>
        <v>4480</v>
      </c>
      <c r="G42" s="3">
        <f>Laborwerte!G42</f>
        <v>31</v>
      </c>
      <c r="H42" s="6">
        <f>Laborwerte!H42*9.80665</f>
        <v>13.631243499999998</v>
      </c>
    </row>
    <row r="43" spans="1:8" ht="12.75">
      <c r="A43" s="3">
        <f>Laborwerte!A43</f>
        <v>5</v>
      </c>
      <c r="B43" s="3">
        <f>Laborwerte!B43</f>
        <v>2400</v>
      </c>
      <c r="C43" s="3"/>
      <c r="D43" s="11">
        <f>Laborwerte!D43/1000*9.81*997.6</f>
        <v>-58.71873600000001</v>
      </c>
      <c r="E43" s="11">
        <f>Laborwerte!E43*100</f>
        <v>-67</v>
      </c>
      <c r="F43" s="11">
        <f>2*Laborwerte!F43*100</f>
        <v>4490</v>
      </c>
      <c r="G43" s="3">
        <f>Laborwerte!G43</f>
        <v>30</v>
      </c>
      <c r="H43" s="6">
        <f>Laborwerte!H43*9.80665</f>
        <v>17.65197</v>
      </c>
    </row>
    <row r="44" spans="1:8" ht="12.75">
      <c r="A44" s="3">
        <f>Laborwerte!A44</f>
        <v>6</v>
      </c>
      <c r="B44" s="3">
        <f>Laborwerte!B44</f>
        <v>2400</v>
      </c>
      <c r="C44" s="3"/>
      <c r="D44" s="11">
        <f>Laborwerte!D44/1000*9.81*997.6</f>
        <v>-110.58695280000002</v>
      </c>
      <c r="E44" s="11">
        <f>Laborwerte!E44*100</f>
        <v>-127</v>
      </c>
      <c r="F44" s="11">
        <f>2*Laborwerte!F44*100</f>
        <v>4414</v>
      </c>
      <c r="G44" s="3">
        <f>Laborwerte!G44</f>
        <v>29.5</v>
      </c>
      <c r="H44" s="6">
        <f>Laborwerte!H44*9.80665</f>
        <v>22.0649625</v>
      </c>
    </row>
    <row r="45" spans="1:8" ht="12.75">
      <c r="A45" s="3">
        <f>Laborwerte!A45</f>
        <v>7</v>
      </c>
      <c r="B45" s="3">
        <f>Laborwerte!B45</f>
        <v>2400</v>
      </c>
      <c r="C45" s="3"/>
      <c r="D45" s="11">
        <f>Laborwerte!D45/1000*9.81*997.6</f>
        <v>-207.47286720000002</v>
      </c>
      <c r="E45" s="11">
        <f>Laborwerte!E45*100</f>
        <v>-236</v>
      </c>
      <c r="F45" s="11">
        <f>2*Laborwerte!F45*100</f>
        <v>4174</v>
      </c>
      <c r="G45" s="3">
        <f>Laborwerte!G45</f>
        <v>29</v>
      </c>
      <c r="H45" s="6">
        <f>Laborwerte!H45*9.80665</f>
        <v>27.458619999999996</v>
      </c>
    </row>
    <row r="46" spans="1:8" ht="12.75">
      <c r="A46" s="3">
        <f>Laborwerte!A46</f>
        <v>8</v>
      </c>
      <c r="B46" s="3">
        <f>Laborwerte!B46</f>
        <v>2400</v>
      </c>
      <c r="C46" s="3"/>
      <c r="D46" s="11">
        <f>Laborwerte!D46/1000*9.81*997.6</f>
        <v>-357.205644</v>
      </c>
      <c r="E46" s="11">
        <f>Laborwerte!E46*100</f>
        <v>-404</v>
      </c>
      <c r="F46" s="11">
        <f>2*Laborwerte!F46*100</f>
        <v>3529.9999999999995</v>
      </c>
      <c r="G46" s="3">
        <f>Laborwerte!G46</f>
        <v>28</v>
      </c>
      <c r="H46" s="6">
        <f>Laborwerte!H46*9.80665</f>
        <v>33.34261</v>
      </c>
    </row>
    <row r="47" spans="1:8" ht="12.75">
      <c r="A47" s="3">
        <f>Laborwerte!A47</f>
        <v>9</v>
      </c>
      <c r="B47" s="3">
        <f>Laborwerte!B47</f>
        <v>2400</v>
      </c>
      <c r="C47" s="3"/>
      <c r="D47" s="11">
        <f>Laborwerte!D47/1000*9.81*997.6</f>
        <v>-566.6358024</v>
      </c>
      <c r="E47" s="11">
        <f>Laborwerte!E47*100</f>
        <v>-639</v>
      </c>
      <c r="F47" s="11">
        <f>2*Laborwerte!F47*100</f>
        <v>2524</v>
      </c>
      <c r="G47" s="3">
        <f>Laborwerte!G47</f>
        <v>28</v>
      </c>
      <c r="H47" s="6">
        <f>Laborwerte!H47*9.80665</f>
        <v>39.7169325</v>
      </c>
    </row>
    <row r="48" spans="1:8" ht="12.75">
      <c r="A48" s="3">
        <f>Laborwerte!A48</f>
        <v>10</v>
      </c>
      <c r="B48" s="3">
        <f>Laborwerte!B48</f>
        <v>2400</v>
      </c>
      <c r="C48" s="3"/>
      <c r="D48" s="11">
        <f>Laborwerte!D48/1000*9.81*997.6</f>
        <v>-828.9128232</v>
      </c>
      <c r="E48" s="11">
        <f>Laborwerte!E48*100</f>
        <v>-933</v>
      </c>
      <c r="F48" s="11">
        <f>2*Laborwerte!F48*100</f>
        <v>1246</v>
      </c>
      <c r="G48" s="3">
        <f>Laborwerte!G48</f>
        <v>27.5</v>
      </c>
      <c r="H48" s="6">
        <f>Laborwerte!H48*9.80665</f>
        <v>46.5815875</v>
      </c>
    </row>
    <row r="49" spans="1:8" ht="12.75">
      <c r="A49" s="3">
        <f>Laborwerte!A49</f>
        <v>11</v>
      </c>
      <c r="B49" s="3">
        <f>Laborwerte!B49</f>
        <v>2400</v>
      </c>
      <c r="C49" s="3" t="str">
        <f>Laborwerte!C49</f>
        <v>auf</v>
      </c>
      <c r="D49" s="11">
        <f>Laborwerte!D49/1000*9.81*997.6</f>
        <v>-1042.257564</v>
      </c>
      <c r="E49" s="11">
        <f>Laborwerte!E49*100</f>
        <v>-1171</v>
      </c>
      <c r="F49" s="11">
        <f>2*Laborwerte!F49*100</f>
        <v>-24</v>
      </c>
      <c r="G49" s="3">
        <f>Laborwerte!G49</f>
        <v>27.5</v>
      </c>
      <c r="H49" s="6">
        <f>Laborwerte!H49*9.80665</f>
        <v>50.99458</v>
      </c>
    </row>
    <row r="51" spans="2:9" ht="12.75">
      <c r="B51" s="16">
        <v>99900</v>
      </c>
      <c r="C51" s="10" t="s">
        <v>16</v>
      </c>
      <c r="E51" s="8">
        <f>Laborwerte!E51</f>
        <v>23</v>
      </c>
      <c r="F51" s="10" t="s">
        <v>7</v>
      </c>
      <c r="H51" s="9">
        <f>Laborwerte!H51</f>
        <v>50</v>
      </c>
      <c r="I51" s="10" t="s">
        <v>11</v>
      </c>
    </row>
    <row r="52" spans="2:3" ht="12.75">
      <c r="B52">
        <v>2828</v>
      </c>
      <c r="C52" t="s">
        <v>16</v>
      </c>
    </row>
  </sheetData>
  <printOptions/>
  <pageMargins left="0.75" right="0.75" top="1" bottom="1" header="0.4921259845" footer="0.4921259845"/>
  <pageSetup orientation="portrait" paperSize="9" r:id="rId31"/>
  <headerFooter alignWithMargins="0">
    <oddHeader>&amp;C&amp;A</oddHeader>
  </headerFooter>
  <legacyDrawing r:id="rId30"/>
  <oleObjects>
    <oleObject progId="Equation.3" shapeId="151418" r:id="rId1"/>
    <oleObject progId="Equation.3" shapeId="151419" r:id="rId2"/>
    <oleObject progId="Equation.3" shapeId="151421" r:id="rId3"/>
    <oleObject progId="Equation.3" shapeId="151422" r:id="rId4"/>
    <oleObject progId="Equation.3" shapeId="151423" r:id="rId5"/>
    <oleObject progId="Equation.3" shapeId="151424" r:id="rId6"/>
    <oleObject progId="Equation.3" shapeId="151425" r:id="rId7"/>
    <oleObject progId="Equation.3" shapeId="151426" r:id="rId8"/>
    <oleObject progId="Equation.3" shapeId="151427" r:id="rId9"/>
    <oleObject progId="Equation.3" shapeId="151429" r:id="rId10"/>
    <oleObject progId="Equation.3" shapeId="151430" r:id="rId11"/>
    <oleObject progId="Equation.3" shapeId="151431" r:id="rId12"/>
    <oleObject progId="Equation.3" shapeId="151432" r:id="rId13"/>
    <oleObject progId="Equation.3" shapeId="151434" r:id="rId14"/>
    <oleObject progId="Equation.3" shapeId="151435" r:id="rId15"/>
    <oleObject progId="Equation.3" shapeId="151436" r:id="rId16"/>
    <oleObject progId="Equation.3" shapeId="151437" r:id="rId17"/>
    <oleObject progId="Equation.3" shapeId="151438" r:id="rId18"/>
    <oleObject progId="Equation.3" shapeId="151439" r:id="rId19"/>
    <oleObject progId="Equation.3" shapeId="151440" r:id="rId20"/>
    <oleObject progId="Equation.3" shapeId="151441" r:id="rId21"/>
    <oleObject progId="Equation.3" shapeId="151442" r:id="rId22"/>
    <oleObject progId="Equation.3" shapeId="151443" r:id="rId23"/>
    <oleObject progId="Equation.3" shapeId="162315" r:id="rId24"/>
    <oleObject progId="Equation.3" shapeId="163872" r:id="rId25"/>
    <oleObject progId="Equation.3" shapeId="164118" r:id="rId26"/>
    <oleObject progId="Equation.3" shapeId="250967" r:id="rId27"/>
    <oleObject progId="Equation.3" shapeId="265195" r:id="rId28"/>
    <oleObject progId="Equation.3" shapeId="271362" r:id="rId29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W41"/>
  <sheetViews>
    <sheetView workbookViewId="0" topLeftCell="A1">
      <selection activeCell="M64" sqref="M64"/>
    </sheetView>
  </sheetViews>
  <sheetFormatPr defaultColWidth="11.421875" defaultRowHeight="12.75"/>
  <cols>
    <col min="1" max="31" width="8.7109375" style="13" customWidth="1"/>
    <col min="32" max="32" width="11.28125" style="13" customWidth="1"/>
    <col min="33" max="33" width="9.140625" style="13" bestFit="1" customWidth="1"/>
    <col min="34" max="35" width="9.57421875" style="13" bestFit="1" customWidth="1"/>
    <col min="36" max="55" width="8.7109375" style="13" customWidth="1"/>
    <col min="56" max="16384" width="11.57421875" style="13" customWidth="1"/>
  </cols>
  <sheetData>
    <row r="1" spans="1:49" ht="12">
      <c r="A1" s="12" t="s">
        <v>0</v>
      </c>
      <c r="B1" s="12" t="s">
        <v>1</v>
      </c>
      <c r="C1" s="12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2" t="s">
        <v>0</v>
      </c>
      <c r="P1" s="12" t="s">
        <v>1</v>
      </c>
      <c r="Q1" s="12" t="s">
        <v>2</v>
      </c>
      <c r="R1" s="15"/>
      <c r="S1" s="15"/>
      <c r="T1" s="15"/>
      <c r="U1" s="15"/>
      <c r="V1" s="15"/>
      <c r="W1" s="15"/>
      <c r="X1" s="15"/>
      <c r="Y1" s="12" t="s">
        <v>36</v>
      </c>
      <c r="Z1" s="15"/>
      <c r="AA1" s="15"/>
      <c r="AB1" s="15"/>
      <c r="AC1" s="12" t="s">
        <v>0</v>
      </c>
      <c r="AD1" s="12" t="s">
        <v>1</v>
      </c>
      <c r="AE1" s="12" t="s">
        <v>2</v>
      </c>
      <c r="AF1" s="15"/>
      <c r="AG1" s="15"/>
      <c r="AH1" s="15"/>
      <c r="AI1" s="15"/>
      <c r="AJ1" s="15"/>
      <c r="AK1" s="15"/>
      <c r="AL1" s="19"/>
      <c r="AM1" s="15"/>
      <c r="AN1" s="15"/>
      <c r="AO1" s="15"/>
      <c r="AP1" s="15"/>
      <c r="AQ1" s="15"/>
      <c r="AR1" s="12" t="s">
        <v>0</v>
      </c>
      <c r="AS1" s="12" t="s">
        <v>1</v>
      </c>
      <c r="AT1" s="12" t="s">
        <v>2</v>
      </c>
      <c r="AU1" s="15"/>
      <c r="AV1" s="15"/>
      <c r="AW1" s="15"/>
    </row>
    <row r="2" spans="1:49" s="18" customFormat="1" ht="12">
      <c r="A2" s="12" t="s">
        <v>5</v>
      </c>
      <c r="B2" s="12"/>
      <c r="C2" s="12" t="s">
        <v>3</v>
      </c>
      <c r="D2" s="12" t="s">
        <v>16</v>
      </c>
      <c r="E2" s="12" t="s">
        <v>16</v>
      </c>
      <c r="F2" s="12" t="s">
        <v>16</v>
      </c>
      <c r="G2" s="12" t="s">
        <v>18</v>
      </c>
      <c r="H2" s="12" t="s">
        <v>18</v>
      </c>
      <c r="I2" s="12" t="s">
        <v>18</v>
      </c>
      <c r="J2" s="12" t="s">
        <v>19</v>
      </c>
      <c r="K2" s="12" t="s">
        <v>21</v>
      </c>
      <c r="L2" s="12" t="s">
        <v>21</v>
      </c>
      <c r="M2" s="12" t="s">
        <v>21</v>
      </c>
      <c r="N2" s="12" t="s">
        <v>21</v>
      </c>
      <c r="O2" s="12" t="s">
        <v>5</v>
      </c>
      <c r="P2" s="12"/>
      <c r="Q2" s="12" t="s">
        <v>3</v>
      </c>
      <c r="R2" s="12"/>
      <c r="S2" s="12" t="s">
        <v>30</v>
      </c>
      <c r="T2" s="12" t="s">
        <v>35</v>
      </c>
      <c r="U2" s="12" t="s">
        <v>30</v>
      </c>
      <c r="V2" s="12" t="s">
        <v>30</v>
      </c>
      <c r="W2" s="12" t="s">
        <v>31</v>
      </c>
      <c r="X2" s="12" t="s">
        <v>31</v>
      </c>
      <c r="Y2" s="12" t="s">
        <v>37</v>
      </c>
      <c r="Z2" s="12" t="s">
        <v>40</v>
      </c>
      <c r="AA2" s="12"/>
      <c r="AB2" s="12"/>
      <c r="AC2" s="12" t="s">
        <v>5</v>
      </c>
      <c r="AD2" s="12"/>
      <c r="AE2" s="12" t="s">
        <v>3</v>
      </c>
      <c r="AF2" s="12"/>
      <c r="AG2" s="12"/>
      <c r="AH2" s="12"/>
      <c r="AI2" s="12"/>
      <c r="AJ2" s="12"/>
      <c r="AK2" s="12"/>
      <c r="AL2" s="24"/>
      <c r="AM2" s="12"/>
      <c r="AN2" s="12"/>
      <c r="AO2" s="12" t="s">
        <v>16</v>
      </c>
      <c r="AP2" s="12" t="s">
        <v>16</v>
      </c>
      <c r="AQ2" s="12" t="s">
        <v>16</v>
      </c>
      <c r="AR2" s="12" t="s">
        <v>5</v>
      </c>
      <c r="AS2" s="12"/>
      <c r="AT2" s="12" t="s">
        <v>3</v>
      </c>
      <c r="AU2" s="12" t="s">
        <v>42</v>
      </c>
      <c r="AV2" s="12" t="s">
        <v>40</v>
      </c>
      <c r="AW2" s="12"/>
    </row>
    <row r="3" spans="1:49" ht="12">
      <c r="A3" s="14">
        <f>Laborwerte!$A3</f>
        <v>1</v>
      </c>
      <c r="B3" s="14">
        <f>Laborwerte!$B3</f>
        <v>2700</v>
      </c>
      <c r="C3" s="14" t="str">
        <f>Laborwerte!$C3</f>
        <v>zu</v>
      </c>
      <c r="D3" s="17">
        <f>'Laborwerte (Einheiten)'!$B$15+'Laborwerte (Einheiten)'!D3</f>
        <v>99900</v>
      </c>
      <c r="E3" s="17">
        <f>'Laborwerte (Einheiten)'!$B$15+'Laborwerte (Einheiten)'!E3</f>
        <v>99900.001</v>
      </c>
      <c r="F3" s="17">
        <f>'Laborwerte (Einheiten)'!$B$15+'Laborwerte (Einheiten)'!F3</f>
        <v>105330</v>
      </c>
      <c r="G3" s="20">
        <f>'Laborwerte (Einheiten)'!$E$15+273.15</f>
        <v>296.15</v>
      </c>
      <c r="H3" s="20">
        <f>'Laborwerte (Einheiten)'!$E$15+273.15</f>
        <v>296.15</v>
      </c>
      <c r="I3" s="15">
        <f>'Laborwerte (Einheiten)'!G3+273.15</f>
        <v>304.65</v>
      </c>
      <c r="J3" s="20">
        <f>Konstanten!$C$3/(1-0.377*('Laborwerte (Einheiten)'!$H$15/100)*('Laborwerte (Einheiten)'!$B$16/'Laborwerte (Einheiten)'!$B$15))</f>
        <v>288.7407541918225</v>
      </c>
      <c r="K3" s="19">
        <f>D3/(J3*G3)</f>
        <v>1.168276564095305</v>
      </c>
      <c r="L3" s="19">
        <f>E3/(J3*H3)</f>
        <v>1.168276575789765</v>
      </c>
      <c r="M3" s="19">
        <f>F3/(J3*I3)</f>
        <v>1.1974098192213989</v>
      </c>
      <c r="N3" s="19">
        <f>(L3+M3)/2</f>
        <v>1.182843197505582</v>
      </c>
      <c r="O3" s="14">
        <f>Laborwerte!$A3</f>
        <v>1</v>
      </c>
      <c r="P3" s="14">
        <f>Laborwerte!$B3</f>
        <v>2700</v>
      </c>
      <c r="Q3" s="14" t="str">
        <f>Laborwerte!$C3</f>
        <v>zu</v>
      </c>
      <c r="R3" s="19">
        <f>1-0.55*('Laborwerte (Einheiten)'!D3/'Laborwerte (Einheiten)'!$B$15)</f>
        <v>1</v>
      </c>
      <c r="S3" s="19">
        <f>(SQRT(2*'Laborwerte (Einheiten)'!D3/Auswertung!K3))*(PI()*SUMSQ(Konstanten!$C$5)/4)*R3*Konstanten!$C$4</f>
        <v>1.2730338645856518E-08</v>
      </c>
      <c r="T3" s="19">
        <f>S3*K3</f>
        <v>1.4872556292950932E-08</v>
      </c>
      <c r="U3" s="19">
        <f>(K3/L3)*S3</f>
        <v>1.2730338518425702E-08</v>
      </c>
      <c r="V3" s="19">
        <f>(K3/M3)*S3</f>
        <v>1.2420606591168285E-08</v>
      </c>
      <c r="W3" s="19">
        <f>U3/Konstanten!$C$8</f>
        <v>4.0521926048812115E-07</v>
      </c>
      <c r="X3" s="19">
        <f>V3/Konstanten!$C$9</f>
        <v>4.1073434494604115E-07</v>
      </c>
      <c r="Y3" s="19">
        <f>'Laborwerte (Einheiten)'!H3*Konstanten!$C$10</f>
        <v>4.16782625</v>
      </c>
      <c r="Z3" s="17">
        <f>2*PI()*Y3*(P3/60)</f>
        <v>1178.4251095594827</v>
      </c>
      <c r="AA3" s="15">
        <f>(17.1+0.048*'Laborwerte (Einheiten)'!$E$15)*POWER(10,-6)</f>
        <v>1.8204E-05</v>
      </c>
      <c r="AB3" s="15">
        <f>(17.1+0.048*'Laborwerte (Einheiten)'!G3)*POWER(10,-6)</f>
        <v>1.8612E-05</v>
      </c>
      <c r="AC3" s="14">
        <f>Laborwerte!$A3</f>
        <v>1</v>
      </c>
      <c r="AD3" s="14">
        <f>Laborwerte!$B3</f>
        <v>2700</v>
      </c>
      <c r="AE3" s="14" t="str">
        <f>Laborwerte!$C3</f>
        <v>zu</v>
      </c>
      <c r="AF3" s="22">
        <f>AA3/L3</f>
        <v>1.558192672629248E-05</v>
      </c>
      <c r="AG3" s="22">
        <f>AB3/M3</f>
        <v>1.5543550504790604E-05</v>
      </c>
      <c r="AH3" s="22">
        <f>W3*Konstanten!$C$5/AF3</f>
        <v>0.0052011444746992205</v>
      </c>
      <c r="AI3" s="22">
        <f>X3*Konstanten!$C$11/AG3</f>
        <v>0.004366580669193661</v>
      </c>
      <c r="AJ3" s="19">
        <f>2.3*(0.005+0.42*POWER(AH3,-0.3))</f>
        <v>4.690439731327063</v>
      </c>
      <c r="AK3" s="19">
        <f>0.95*POWER(AH3,-0.12)</f>
        <v>1.78563107464999</v>
      </c>
      <c r="AL3" s="19">
        <f>1.0632*POWER(0.4518,AH3/100000)</f>
        <v>1.0631999560644216</v>
      </c>
      <c r="AM3" s="19">
        <f>AJ3+AK3+AL3</f>
        <v>7.5392707620414745</v>
      </c>
      <c r="AN3" s="19">
        <f>3*(0.005+0.42*POWER(AI3,-0.3))</f>
        <v>6.446734354888578</v>
      </c>
      <c r="AO3" s="20">
        <f aca="true" t="shared" si="0" ref="AO3:AO13">AM3*(L3/2)*W3*W3</f>
        <v>7.231446430339923E-13</v>
      </c>
      <c r="AP3" s="20">
        <f aca="true" t="shared" si="1" ref="AP3:AP13">AN3*(M3/2)*X3*X3</f>
        <v>6.511403869496027E-13</v>
      </c>
      <c r="AQ3" s="17">
        <f aca="true" t="shared" si="2" ref="AQ3:AQ13">F3-E3+(X3*X3-W3*W3)*(N3/2)+AO3+AP3</f>
        <v>5429.998999999998</v>
      </c>
      <c r="AR3" s="14">
        <f>Laborwerte!$A3</f>
        <v>1</v>
      </c>
      <c r="AS3" s="14">
        <f>Laborwerte!$B3</f>
        <v>2700</v>
      </c>
      <c r="AT3" s="14" t="str">
        <f>Laborwerte!$C3</f>
        <v>zu</v>
      </c>
      <c r="AU3" s="17">
        <f aca="true" t="shared" si="3" ref="AU3:AU13">AQ3/N3</f>
        <v>4590.632986224172</v>
      </c>
      <c r="AV3" s="17">
        <f aca="true" t="shared" si="4" ref="AV3:AV13">(L3/N3)*U3*AQ3</f>
        <v>6.827444750789643E-05</v>
      </c>
      <c r="AW3" s="20">
        <f aca="true" t="shared" si="5" ref="AW3:AW13">AV3/Z3</f>
        <v>5.7937027100023934E-08</v>
      </c>
    </row>
    <row r="4" spans="1:49" ht="12">
      <c r="A4" s="14">
        <f>Laborwerte!$A4</f>
        <v>2</v>
      </c>
      <c r="B4" s="14">
        <f>Laborwerte!$B4</f>
        <v>2700</v>
      </c>
      <c r="C4" s="14"/>
      <c r="D4" s="17">
        <f>'Laborwerte (Einheiten)'!$B$15+'Laborwerte (Einheiten)'!D4</f>
        <v>99896.0854176</v>
      </c>
      <c r="E4" s="17">
        <f>'Laborwerte (Einheiten)'!$B$15+'Laborwerte (Einheiten)'!E4</f>
        <v>99896</v>
      </c>
      <c r="F4" s="17">
        <f>'Laborwerte (Einheiten)'!$B$15+'Laborwerte (Einheiten)'!F4</f>
        <v>105400</v>
      </c>
      <c r="G4" s="20">
        <f>'Laborwerte (Einheiten)'!$E$15+273.15</f>
        <v>296.15</v>
      </c>
      <c r="H4" s="20">
        <f>'Laborwerte (Einheiten)'!$E$15+273.15</f>
        <v>296.15</v>
      </c>
      <c r="I4" s="15">
        <f>'Laborwerte (Einheiten)'!G4+273.15</f>
        <v>304.65</v>
      </c>
      <c r="J4" s="20">
        <f>Konstanten!$C$3/(1-0.377*('Laborwerte (Einheiten)'!$H$15/100)*('Laborwerte (Einheiten)'!$B$16/'Laborwerte (Einheiten)'!$B$15))</f>
        <v>288.7407541918225</v>
      </c>
      <c r="K4" s="19">
        <f aca="true" t="shared" si="6" ref="K4:K13">D4/(J4*G4)</f>
        <v>1.168230785167616</v>
      </c>
      <c r="L4" s="19">
        <f aca="true" t="shared" si="7" ref="L4:L13">E4/(J4*H4)</f>
        <v>1.1682297862549007</v>
      </c>
      <c r="M4" s="19">
        <f aca="true" t="shared" si="8" ref="M4:M13">F4/(J4*I4)</f>
        <v>1.198205591435825</v>
      </c>
      <c r="N4" s="19">
        <f aca="true" t="shared" si="9" ref="N4:N13">(L4+M4)/2</f>
        <v>1.183217688845363</v>
      </c>
      <c r="O4" s="14">
        <f>Laborwerte!$A4</f>
        <v>2</v>
      </c>
      <c r="P4" s="14">
        <f>Laborwerte!$B4</f>
        <v>2700</v>
      </c>
      <c r="Q4" s="14"/>
      <c r="R4" s="19">
        <f>1-0.55*('Laborwerte (Einheiten)'!D4/'Laborwerte (Einheiten)'!$B$15)</f>
        <v>1.0000215517549549</v>
      </c>
      <c r="S4" s="19">
        <f>(SQRT(2*('Laborwerte (Einheiten)'!D4*-1)/Auswertung!K4))*(PI()*SUMSQ(Konstanten!$C$5)/4)*R4*Konstanten!$C$4</f>
        <v>0.08051704377053874</v>
      </c>
      <c r="T4" s="19">
        <f aca="true" t="shared" si="10" ref="T4:T13">S4*K4</f>
        <v>0.09406248926343178</v>
      </c>
      <c r="U4" s="19">
        <f aca="true" t="shared" si="11" ref="U4:U13">(K4/L4)*S4</f>
        <v>0.08051711261786634</v>
      </c>
      <c r="V4" s="19">
        <f aca="true" t="shared" si="12" ref="V4:V13">(K4/M4)*S4</f>
        <v>0.07850279612759568</v>
      </c>
      <c r="W4" s="19">
        <f>U4/Konstanten!$C$8</f>
        <v>2.562939295324049</v>
      </c>
      <c r="X4" s="19">
        <f>V4/Konstanten!$C$9</f>
        <v>2.5959919354363654</v>
      </c>
      <c r="Y4" s="19">
        <f>'Laborwerte (Einheiten)'!H4*Konstanten!$C$10</f>
        <v>5.638823749999999</v>
      </c>
      <c r="Z4" s="17">
        <f aca="true" t="shared" si="13" ref="Z4:Z13">2*PI()*Y4*(P4/60)</f>
        <v>1594.3398541098882</v>
      </c>
      <c r="AA4" s="15">
        <f>(17.1+0.048*'Laborwerte (Einheiten)'!$E$15)*POWER(10,-6)</f>
        <v>1.8204E-05</v>
      </c>
      <c r="AB4" s="15">
        <f>(17.1+0.048*'Laborwerte (Einheiten)'!G4)*POWER(10,-6)</f>
        <v>1.8612E-05</v>
      </c>
      <c r="AC4" s="14">
        <f>Laborwerte!$A4</f>
        <v>2</v>
      </c>
      <c r="AD4" s="14">
        <f>Laborwerte!$B4</f>
        <v>2700</v>
      </c>
      <c r="AE4" s="14"/>
      <c r="AF4" s="22">
        <f aca="true" t="shared" si="14" ref="AF4:AF13">AA4/L4</f>
        <v>1.558255080822601E-05</v>
      </c>
      <c r="AG4" s="22">
        <f aca="true" t="shared" si="15" ref="AG4:AG13">AB4/M4</f>
        <v>1.553322746365839E-05</v>
      </c>
      <c r="AH4" s="22">
        <f>W4*Konstanten!$C$5/AF4</f>
        <v>32894.99038849373</v>
      </c>
      <c r="AI4" s="22">
        <f>X4*Konstanten!$C$11/AG4</f>
        <v>27616.735094061114</v>
      </c>
      <c r="AJ4" s="19">
        <f aca="true" t="shared" si="16" ref="AJ4:AJ13">2.3*(0.005+0.42*POWER(AH4,-0.3))</f>
        <v>0.05414206199895131</v>
      </c>
      <c r="AK4" s="19">
        <f aca="true" t="shared" si="17" ref="AK4:AK13">0.95*POWER(AH4,-0.12)</f>
        <v>0.272689260157367</v>
      </c>
      <c r="AL4" s="19">
        <f aca="true" t="shared" si="18" ref="AL4:AL13">1.0632*POWER(0.4518,AH4/100000)</f>
        <v>0.8186712936943558</v>
      </c>
      <c r="AM4" s="19">
        <f aca="true" t="shared" si="19" ref="AM4:AM13">AJ4+AK4+AL4</f>
        <v>1.145502615850674</v>
      </c>
      <c r="AN4" s="19">
        <f aca="true" t="shared" si="20" ref="AN4:AN13">3*(0.005+0.42*POWER(AI4,-0.3))</f>
        <v>0.0736163598743676</v>
      </c>
      <c r="AO4" s="20">
        <f t="shared" si="0"/>
        <v>4.395122705060177</v>
      </c>
      <c r="AP4" s="20">
        <f t="shared" si="1"/>
        <v>0.29722296562747413</v>
      </c>
      <c r="AQ4" s="17">
        <f t="shared" si="2"/>
        <v>5508.793224620308</v>
      </c>
      <c r="AR4" s="14">
        <f>Laborwerte!$A4</f>
        <v>2</v>
      </c>
      <c r="AS4" s="14">
        <f>Laborwerte!$B4</f>
        <v>2700</v>
      </c>
      <c r="AT4" s="14"/>
      <c r="AU4" s="17">
        <f t="shared" si="3"/>
        <v>4655.773216166195</v>
      </c>
      <c r="AV4" s="17">
        <f t="shared" si="4"/>
        <v>437.93361815860595</v>
      </c>
      <c r="AW4" s="20">
        <f t="shared" si="5"/>
        <v>0.2746802176648228</v>
      </c>
    </row>
    <row r="5" spans="1:49" ht="12">
      <c r="A5" s="14">
        <f>Laborwerte!$A5</f>
        <v>3</v>
      </c>
      <c r="B5" s="14">
        <f>Laborwerte!$B5</f>
        <v>2700</v>
      </c>
      <c r="C5" s="14"/>
      <c r="D5" s="17">
        <f>'Laborwerte (Einheiten)'!$B$15+'Laborwerte (Einheiten)'!D5</f>
        <v>99887.2776072</v>
      </c>
      <c r="E5" s="17">
        <f>'Laborwerte (Einheiten)'!$B$15+'Laborwerte (Einheiten)'!E5</f>
        <v>99886</v>
      </c>
      <c r="F5" s="17">
        <f>'Laborwerte (Einheiten)'!$B$15+'Laborwerte (Einheiten)'!F5</f>
        <v>105500</v>
      </c>
      <c r="G5" s="20">
        <f>'Laborwerte (Einheiten)'!$E$15+273.15</f>
        <v>296.15</v>
      </c>
      <c r="H5" s="20">
        <f>'Laborwerte (Einheiten)'!$E$15+273.15</f>
        <v>296.15</v>
      </c>
      <c r="I5" s="15">
        <f>'Laborwerte (Einheiten)'!G5+273.15</f>
        <v>305.15</v>
      </c>
      <c r="J5" s="20">
        <f>Konstanten!$C$3/(1-0.377*('Laborwerte (Einheiten)'!$H$15/100)*('Laborwerte (Einheiten)'!$B$16/'Laborwerte (Einheiten)'!$B$15))</f>
        <v>288.7407541918225</v>
      </c>
      <c r="K5" s="19">
        <f t="shared" si="6"/>
        <v>1.1681277825803154</v>
      </c>
      <c r="L5" s="19">
        <f t="shared" si="7"/>
        <v>1.1681128416538902</v>
      </c>
      <c r="M5" s="19">
        <f t="shared" si="8"/>
        <v>1.1973772402648428</v>
      </c>
      <c r="N5" s="19">
        <f t="shared" si="9"/>
        <v>1.1827450409593665</v>
      </c>
      <c r="O5" s="14">
        <f>Laborwerte!$A5</f>
        <v>3</v>
      </c>
      <c r="P5" s="14">
        <f>Laborwerte!$B5</f>
        <v>2700</v>
      </c>
      <c r="Q5" s="14"/>
      <c r="R5" s="19">
        <f>1-0.55*('Laborwerte (Einheiten)'!D5/'Laborwerte (Einheiten)'!$B$15)</f>
        <v>1.0000700432036036</v>
      </c>
      <c r="S5" s="19">
        <f>(SQRT(2*('Laborwerte (Einheiten)'!D5*-1)/Auswertung!K5))*(PI()*SUMSQ(Konstanten!$C$5)/4)*R5*Konstanten!$C$4</f>
        <v>0.1451676033506878</v>
      </c>
      <c r="T5" s="19">
        <f t="shared" si="10"/>
        <v>0.16957431060453768</v>
      </c>
      <c r="U5" s="19">
        <f t="shared" si="11"/>
        <v>0.14516946013917914</v>
      </c>
      <c r="V5" s="19">
        <f t="shared" si="12"/>
        <v>0.14162145805195886</v>
      </c>
      <c r="W5" s="19">
        <f>U5/Konstanten!$C$8</f>
        <v>4.620887433426445</v>
      </c>
      <c r="X5" s="19">
        <f>V5/Konstanten!$C$9</f>
        <v>4.6832492742049885</v>
      </c>
      <c r="Y5" s="19">
        <f>'Laborwerte (Einheiten)'!H5*Konstanten!$C$10</f>
        <v>6.962721499999999</v>
      </c>
      <c r="Z5" s="17">
        <f t="shared" si="13"/>
        <v>1968.663124205253</v>
      </c>
      <c r="AA5" s="15">
        <f>(17.1+0.048*'Laborwerte (Einheiten)'!$E$15)*POWER(10,-6)</f>
        <v>1.8204E-05</v>
      </c>
      <c r="AB5" s="15">
        <f>(17.1+0.048*'Laborwerte (Einheiten)'!G5)*POWER(10,-6)</f>
        <v>1.8636000000000002E-05</v>
      </c>
      <c r="AC5" s="14">
        <f>Laborwerte!$A5</f>
        <v>3</v>
      </c>
      <c r="AD5" s="14">
        <f>Laborwerte!$B5</f>
        <v>2700</v>
      </c>
      <c r="AE5" s="14"/>
      <c r="AF5" s="22">
        <f t="shared" si="14"/>
        <v>1.5584110841745042E-05</v>
      </c>
      <c r="AG5" s="22">
        <f t="shared" si="15"/>
        <v>1.5564017231426567E-05</v>
      </c>
      <c r="AH5" s="22">
        <f>W5*Konstanten!$C$5/AF5</f>
        <v>59302.548350060606</v>
      </c>
      <c r="AI5" s="22">
        <f>X5*Konstanten!$C$11/AG5</f>
        <v>49722.87921624685</v>
      </c>
      <c r="AJ5" s="19">
        <f t="shared" si="16"/>
        <v>0.04723181851746717</v>
      </c>
      <c r="AK5" s="19">
        <f t="shared" si="17"/>
        <v>0.2540708277720652</v>
      </c>
      <c r="AL5" s="19">
        <f t="shared" si="18"/>
        <v>0.6637266978443481</v>
      </c>
      <c r="AM5" s="19">
        <f t="shared" si="19"/>
        <v>0.9650293441338804</v>
      </c>
      <c r="AN5" s="19">
        <f t="shared" si="20"/>
        <v>0.06413643733586782</v>
      </c>
      <c r="AO5" s="20">
        <f t="shared" si="0"/>
        <v>12.035000155044</v>
      </c>
      <c r="AP5" s="20">
        <f t="shared" si="1"/>
        <v>0.8421711970640687</v>
      </c>
      <c r="AQ5" s="17">
        <f t="shared" si="2"/>
        <v>5627.220299344431</v>
      </c>
      <c r="AR5" s="14">
        <f>Laborwerte!$A5</f>
        <v>3</v>
      </c>
      <c r="AS5" s="14">
        <f>Laborwerte!$B5</f>
        <v>2700</v>
      </c>
      <c r="AT5" s="14"/>
      <c r="AU5" s="17">
        <f t="shared" si="3"/>
        <v>4757.762750609372</v>
      </c>
      <c r="AV5" s="17">
        <f t="shared" si="4"/>
        <v>806.7943384545333</v>
      </c>
      <c r="AW5" s="20">
        <f t="shared" si="5"/>
        <v>0.40981838311226315</v>
      </c>
    </row>
    <row r="6" spans="1:49" ht="12">
      <c r="A6" s="14">
        <f>Laborwerte!$A6</f>
        <v>4</v>
      </c>
      <c r="B6" s="14">
        <f>Laborwerte!$B6</f>
        <v>2700</v>
      </c>
      <c r="C6" s="14"/>
      <c r="D6" s="17">
        <f>'Laborwerte (Einheiten)'!$B$15+'Laborwerte (Einheiten)'!D6</f>
        <v>99867.7046952</v>
      </c>
      <c r="E6" s="17">
        <f>'Laborwerte (Einheiten)'!$B$15+'Laborwerte (Einheiten)'!E6</f>
        <v>99863</v>
      </c>
      <c r="F6" s="17">
        <f>'Laborwerte (Einheiten)'!$B$15+'Laborwerte (Einheiten)'!F6</f>
        <v>105570</v>
      </c>
      <c r="G6" s="20">
        <f>'Laborwerte (Einheiten)'!$E$15+273.15</f>
        <v>296.15</v>
      </c>
      <c r="H6" s="20">
        <f>'Laborwerte (Einheiten)'!$E$15+273.15</f>
        <v>296.15</v>
      </c>
      <c r="I6" s="15">
        <f>'Laborwerte (Einheiten)'!G6+273.15</f>
        <v>304.65</v>
      </c>
      <c r="J6" s="20">
        <f>Konstanten!$C$3/(1-0.377*('Laborwerte (Einheiten)'!$H$15/100)*('Laborwerte (Einheiten)'!$B$16/'Laborwerte (Einheiten)'!$B$15))</f>
        <v>288.7407541918225</v>
      </c>
      <c r="K6" s="19">
        <f t="shared" si="6"/>
        <v>1.16789888794187</v>
      </c>
      <c r="L6" s="19">
        <f t="shared" si="7"/>
        <v>1.167843869071566</v>
      </c>
      <c r="M6" s="19">
        <f t="shared" si="8"/>
        <v>1.2001381810994312</v>
      </c>
      <c r="N6" s="19">
        <f t="shared" si="9"/>
        <v>1.1839910250854986</v>
      </c>
      <c r="O6" s="14">
        <f>Laborwerte!$A6</f>
        <v>4</v>
      </c>
      <c r="P6" s="14">
        <f>Laborwerte!$B6</f>
        <v>2700</v>
      </c>
      <c r="Q6" s="14"/>
      <c r="R6" s="19">
        <f>1-0.55*('Laborwerte (Einheiten)'!D6/'Laborwerte (Einheiten)'!$B$15)</f>
        <v>1.0001778019783785</v>
      </c>
      <c r="S6" s="19">
        <f>(SQRT(2*('Laborwerte (Einheiten)'!D6*-1)/Auswertung!K6))*(PI()*SUMSQ(Konstanten!$C$5)/4)*R6*Konstanten!$C$4</f>
        <v>0.23133659984401334</v>
      </c>
      <c r="T6" s="19">
        <f t="shared" si="10"/>
        <v>0.2701777576980765</v>
      </c>
      <c r="U6" s="19">
        <f t="shared" si="11"/>
        <v>0.23134749845702185</v>
      </c>
      <c r="V6" s="19">
        <f t="shared" si="12"/>
        <v>0.22512220838651276</v>
      </c>
      <c r="W6" s="19">
        <f>U6/Konstanten!$C$8</f>
        <v>7.364019590275931</v>
      </c>
      <c r="X6" s="19">
        <f>V6/Konstanten!$C$9</f>
        <v>7.4445174730989665</v>
      </c>
      <c r="Y6" s="19">
        <f>'Laborwerte (Einheiten)'!H6*Konstanten!$C$10</f>
        <v>8.825985</v>
      </c>
      <c r="Z6" s="17">
        <f t="shared" si="13"/>
        <v>2495.488467302434</v>
      </c>
      <c r="AA6" s="15">
        <f>(17.1+0.048*'Laborwerte (Einheiten)'!$E$15)*POWER(10,-6)</f>
        <v>1.8204E-05</v>
      </c>
      <c r="AB6" s="15">
        <f>(17.1+0.048*'Laborwerte (Einheiten)'!G6)*POWER(10,-6)</f>
        <v>1.8612E-05</v>
      </c>
      <c r="AC6" s="14">
        <f>Laborwerte!$A6</f>
        <v>4</v>
      </c>
      <c r="AD6" s="14">
        <f>Laborwerte!$B6</f>
        <v>2700</v>
      </c>
      <c r="AE6" s="14"/>
      <c r="AF6" s="22">
        <f t="shared" si="14"/>
        <v>1.5587700104528656E-05</v>
      </c>
      <c r="AG6" s="22">
        <f t="shared" si="15"/>
        <v>1.550821421492464E-05</v>
      </c>
      <c r="AH6" s="22">
        <f>W6*Konstanten!$C$5/AF6</f>
        <v>94485.00472672658</v>
      </c>
      <c r="AI6" s="22">
        <f>X6*Konstanten!$C$11/AG6</f>
        <v>79324.15589979452</v>
      </c>
      <c r="AJ6" s="19">
        <f t="shared" si="16"/>
        <v>0.04257193213505084</v>
      </c>
      <c r="AK6" s="19">
        <f t="shared" si="17"/>
        <v>0.2402592176693804</v>
      </c>
      <c r="AL6" s="19">
        <f t="shared" si="18"/>
        <v>0.5018696047064227</v>
      </c>
      <c r="AM6" s="19">
        <f t="shared" si="19"/>
        <v>0.784700754510854</v>
      </c>
      <c r="AN6" s="19">
        <f t="shared" si="20"/>
        <v>0.05771190159764923</v>
      </c>
      <c r="AO6" s="20">
        <f t="shared" si="0"/>
        <v>24.847845041662932</v>
      </c>
      <c r="AP6" s="20">
        <f t="shared" si="1"/>
        <v>1.9192862349483313</v>
      </c>
      <c r="AQ6" s="17">
        <f t="shared" si="2"/>
        <v>5734.472823009046</v>
      </c>
      <c r="AR6" s="14">
        <f>Laborwerte!$A6</f>
        <v>4</v>
      </c>
      <c r="AS6" s="14">
        <f>Laborwerte!$B6</f>
        <v>2700</v>
      </c>
      <c r="AT6" s="14"/>
      <c r="AU6" s="17">
        <f t="shared" si="3"/>
        <v>4843.34146248697</v>
      </c>
      <c r="AV6" s="17">
        <f t="shared" si="4"/>
        <v>1308.5631361008523</v>
      </c>
      <c r="AW6" s="20">
        <f t="shared" si="5"/>
        <v>0.5243715421836348</v>
      </c>
    </row>
    <row r="7" spans="1:49" ht="12">
      <c r="A7" s="14">
        <f>Laborwerte!$A7</f>
        <v>5</v>
      </c>
      <c r="B7" s="14">
        <f>Laborwerte!$B7</f>
        <v>2700</v>
      </c>
      <c r="C7" s="14"/>
      <c r="D7" s="17">
        <f>'Laborwerte (Einheiten)'!$B$15+'Laborwerte (Einheiten)'!D7</f>
        <v>99826.60158</v>
      </c>
      <c r="E7" s="17">
        <f>'Laborwerte (Einheiten)'!$B$15+'Laborwerte (Einheiten)'!E7</f>
        <v>99814</v>
      </c>
      <c r="F7" s="17">
        <f>'Laborwerte (Einheiten)'!$B$15+'Laborwerte (Einheiten)'!F7</f>
        <v>105590</v>
      </c>
      <c r="G7" s="20">
        <f>'Laborwerte (Einheiten)'!$E$15+273.15</f>
        <v>296.15</v>
      </c>
      <c r="H7" s="20">
        <f>'Laborwerte (Einheiten)'!$E$15+273.15</f>
        <v>296.15</v>
      </c>
      <c r="I7" s="15">
        <f>'Laborwerte (Einheiten)'!G7+273.15</f>
        <v>304.15</v>
      </c>
      <c r="J7" s="20">
        <f>Konstanten!$C$3/(1-0.377*('Laborwerte (Einheiten)'!$H$15/100)*('Laborwerte (Einheiten)'!$B$16/'Laborwerte (Einheiten)'!$B$15))</f>
        <v>288.7407541918225</v>
      </c>
      <c r="K7" s="19">
        <f t="shared" si="6"/>
        <v>1.1674182092011347</v>
      </c>
      <c r="L7" s="19">
        <f t="shared" si="7"/>
        <v>1.1672708405266143</v>
      </c>
      <c r="M7" s="19">
        <f t="shared" si="8"/>
        <v>1.2023388563508801</v>
      </c>
      <c r="N7" s="19">
        <f t="shared" si="9"/>
        <v>1.1848048484387472</v>
      </c>
      <c r="O7" s="14">
        <f>Laborwerte!$A7</f>
        <v>5</v>
      </c>
      <c r="P7" s="14">
        <f>Laborwerte!$B7</f>
        <v>2700</v>
      </c>
      <c r="Q7" s="14"/>
      <c r="R7" s="19">
        <f>1-0.55*('Laborwerte (Einheiten)'!D7/'Laborwerte (Einheiten)'!$B$15)</f>
        <v>1.0004040954054054</v>
      </c>
      <c r="S7" s="19">
        <f>(SQRT(2*('Laborwerte (Einheiten)'!D7*-1)/Auswertung!K7))*(PI()*SUMSQ(Konstanten!$C$5)/4)*R7*Konstanten!$C$4</f>
        <v>0.34890376037221704</v>
      </c>
      <c r="T7" s="19">
        <f t="shared" si="10"/>
        <v>0.40731660311727547</v>
      </c>
      <c r="U7" s="19">
        <f t="shared" si="11"/>
        <v>0.34894780969043526</v>
      </c>
      <c r="V7" s="19">
        <f t="shared" si="12"/>
        <v>0.3387702235237482</v>
      </c>
      <c r="W7" s="19">
        <f>U7/Konstanten!$C$8</f>
        <v>11.10735375866455</v>
      </c>
      <c r="X7" s="19">
        <f>V7/Konstanten!$C$9</f>
        <v>11.20271903186998</v>
      </c>
      <c r="Y7" s="19">
        <f>'Laborwerte (Einheiten)'!H7*Konstanten!$C$10</f>
        <v>11.375713999999999</v>
      </c>
      <c r="Z7" s="17">
        <f t="shared" si="13"/>
        <v>3216.4073578564703</v>
      </c>
      <c r="AA7" s="15">
        <f>(17.1+0.048*'Laborwerte (Einheiten)'!$E$15)*POWER(10,-6)</f>
        <v>1.8204E-05</v>
      </c>
      <c r="AB7" s="15">
        <f>(17.1+0.048*'Laborwerte (Einheiten)'!G7)*POWER(10,-6)</f>
        <v>1.8588E-05</v>
      </c>
      <c r="AC7" s="14">
        <f>Laborwerte!$A7</f>
        <v>5</v>
      </c>
      <c r="AD7" s="14">
        <f>Laborwerte!$B7</f>
        <v>2700</v>
      </c>
      <c r="AE7" s="14"/>
      <c r="AF7" s="22">
        <f t="shared" si="14"/>
        <v>1.5595352310683325E-05</v>
      </c>
      <c r="AG7" s="22">
        <f t="shared" si="15"/>
        <v>1.5459867991303973E-05</v>
      </c>
      <c r="AH7" s="22">
        <f>W7*Konstanten!$C$5/AF7</f>
        <v>142444.40955727114</v>
      </c>
      <c r="AI7" s="22">
        <f>X7*Konstanten!$C$11/AG7</f>
        <v>119742.51062653841</v>
      </c>
      <c r="AJ7" s="19">
        <f t="shared" si="16"/>
        <v>0.03897157148944803</v>
      </c>
      <c r="AK7" s="19">
        <f t="shared" si="17"/>
        <v>0.22871052782035306</v>
      </c>
      <c r="AL7" s="19">
        <f t="shared" si="18"/>
        <v>0.34285079254966677</v>
      </c>
      <c r="AM7" s="19">
        <f t="shared" si="19"/>
        <v>0.6105328918594679</v>
      </c>
      <c r="AN7" s="19">
        <f t="shared" si="20"/>
        <v>0.05274818173114251</v>
      </c>
      <c r="AO7" s="20">
        <f t="shared" si="0"/>
        <v>43.96144052759676</v>
      </c>
      <c r="AP7" s="20">
        <f t="shared" si="1"/>
        <v>3.9797085523925775</v>
      </c>
      <c r="AQ7" s="17">
        <f t="shared" si="2"/>
        <v>5825.201548142894</v>
      </c>
      <c r="AR7" s="14">
        <f>Laborwerte!$A7</f>
        <v>5</v>
      </c>
      <c r="AS7" s="14">
        <f>Laborwerte!$B7</f>
        <v>2700</v>
      </c>
      <c r="AT7" s="14"/>
      <c r="AU7" s="17">
        <f t="shared" si="3"/>
        <v>4916.591585372846</v>
      </c>
      <c r="AV7" s="17">
        <f t="shared" si="4"/>
        <v>2002.6093834690475</v>
      </c>
      <c r="AW7" s="20">
        <f t="shared" si="5"/>
        <v>0.6226230575481765</v>
      </c>
    </row>
    <row r="8" spans="1:49" ht="12">
      <c r="A8" s="14">
        <f>Laborwerte!$A8</f>
        <v>6</v>
      </c>
      <c r="B8" s="14">
        <f>Laborwerte!$B8</f>
        <v>2700</v>
      </c>
      <c r="C8" s="14"/>
      <c r="D8" s="17">
        <f>'Laborwerte (Einheiten)'!$B$15+'Laborwerte (Einheiten)'!D8</f>
        <v>99763.9682616</v>
      </c>
      <c r="E8" s="17">
        <f>'Laborwerte (Einheiten)'!$B$15+'Laborwerte (Einheiten)'!E8</f>
        <v>99744</v>
      </c>
      <c r="F8" s="17">
        <f>'Laborwerte (Einheiten)'!$B$15+'Laborwerte (Einheiten)'!F8</f>
        <v>105510</v>
      </c>
      <c r="G8" s="20">
        <f>'Laborwerte (Einheiten)'!$E$15+273.15</f>
        <v>296.15</v>
      </c>
      <c r="H8" s="20">
        <f>'Laborwerte (Einheiten)'!$E$15+273.15</f>
        <v>296.15</v>
      </c>
      <c r="I8" s="15">
        <f>'Laborwerte (Einheiten)'!G8+273.15</f>
        <v>303.15</v>
      </c>
      <c r="J8" s="20">
        <f>Konstanten!$C$3/(1-0.377*('Laborwerte (Einheiten)'!$H$15/100)*('Laborwerte (Einheiten)'!$B$16/'Laborwerte (Einheiten)'!$B$15))</f>
        <v>288.7407541918225</v>
      </c>
      <c r="K8" s="19">
        <f t="shared" si="6"/>
        <v>1.1666857463581093</v>
      </c>
      <c r="L8" s="19">
        <f t="shared" si="7"/>
        <v>1.1664522283195407</v>
      </c>
      <c r="M8" s="19">
        <f t="shared" si="8"/>
        <v>1.2053910539680226</v>
      </c>
      <c r="N8" s="19">
        <f t="shared" si="9"/>
        <v>1.1859216411437816</v>
      </c>
      <c r="O8" s="14">
        <f>Laborwerte!$A8</f>
        <v>6</v>
      </c>
      <c r="P8" s="14">
        <f>Laborwerte!$B8</f>
        <v>2700</v>
      </c>
      <c r="Q8" s="14"/>
      <c r="R8" s="19">
        <f>1-0.55*('Laborwerte (Einheiten)'!D8/'Laborwerte (Einheiten)'!$B$15)</f>
        <v>1.0007489234846847</v>
      </c>
      <c r="S8" s="19">
        <f>(SQRT(2*('Laborwerte (Einheiten)'!D8*-1)/Auswertung!K8))*(PI()*SUMSQ(Konstanten!$C$5)/4)*R8*Konstanten!$C$4</f>
        <v>0.47530061338588553</v>
      </c>
      <c r="T8" s="19">
        <f t="shared" si="10"/>
        <v>0.554526450872579</v>
      </c>
      <c r="U8" s="19">
        <f t="shared" si="11"/>
        <v>0.4753957662470775</v>
      </c>
      <c r="V8" s="19">
        <f t="shared" si="12"/>
        <v>0.4600386314857202</v>
      </c>
      <c r="W8" s="19">
        <f>U8/Konstanten!$C$8</f>
        <v>15.132317224636319</v>
      </c>
      <c r="X8" s="19">
        <f>V8/Konstanten!$C$9</f>
        <v>15.212917707861118</v>
      </c>
      <c r="Y8" s="19">
        <f>'Laborwerte (Einheiten)'!H8*Konstanten!$C$10</f>
        <v>14.0235095</v>
      </c>
      <c r="Z8" s="17">
        <f t="shared" si="13"/>
        <v>3965.0538980472006</v>
      </c>
      <c r="AA8" s="15">
        <f>(17.1+0.048*'Laborwerte (Einheiten)'!$E$15)*POWER(10,-6)</f>
        <v>1.8204E-05</v>
      </c>
      <c r="AB8" s="15">
        <f>(17.1+0.048*'Laborwerte (Einheiten)'!G8)*POWER(10,-6)</f>
        <v>1.8540000000000002E-05</v>
      </c>
      <c r="AC8" s="14">
        <f>Laborwerte!$A8</f>
        <v>6</v>
      </c>
      <c r="AD8" s="14">
        <f>Laborwerte!$B8</f>
        <v>2700</v>
      </c>
      <c r="AE8" s="14"/>
      <c r="AF8" s="22">
        <f t="shared" si="14"/>
        <v>1.5606297075899754E-05</v>
      </c>
      <c r="AG8" s="22">
        <f t="shared" si="15"/>
        <v>1.5380900612268723E-05</v>
      </c>
      <c r="AH8" s="22">
        <f>W8*Konstanten!$C$5/AF8</f>
        <v>193925.78714914527</v>
      </c>
      <c r="AI8" s="22">
        <f>X8*Konstanten!$C$11/AG8</f>
        <v>163441.16424466347</v>
      </c>
      <c r="AJ8" s="19">
        <f t="shared" si="16"/>
        <v>0.03654300599863544</v>
      </c>
      <c r="AK8" s="19">
        <f t="shared" si="17"/>
        <v>0.22039784193951042</v>
      </c>
      <c r="AL8" s="19">
        <f t="shared" si="18"/>
        <v>0.22775437161034276</v>
      </c>
      <c r="AM8" s="19">
        <f t="shared" si="19"/>
        <v>0.4846952195484886</v>
      </c>
      <c r="AN8" s="19">
        <f t="shared" si="20"/>
        <v>0.049384452296731926</v>
      </c>
      <c r="AO8" s="20">
        <f t="shared" si="0"/>
        <v>64.731634284447</v>
      </c>
      <c r="AP8" s="20">
        <f t="shared" si="1"/>
        <v>6.888318851765276</v>
      </c>
      <c r="AQ8" s="17">
        <f t="shared" si="2"/>
        <v>5839.07024078486</v>
      </c>
      <c r="AR8" s="14">
        <f>Laborwerte!$A8</f>
        <v>6</v>
      </c>
      <c r="AS8" s="14">
        <f>Laborwerte!$B8</f>
        <v>2700</v>
      </c>
      <c r="AT8" s="14"/>
      <c r="AU8" s="17">
        <f t="shared" si="3"/>
        <v>4923.656031062283</v>
      </c>
      <c r="AV8" s="17">
        <f t="shared" si="4"/>
        <v>2730.297504222336</v>
      </c>
      <c r="AW8" s="20">
        <f t="shared" si="5"/>
        <v>0.6885902624342672</v>
      </c>
    </row>
    <row r="9" spans="1:49" ht="12">
      <c r="A9" s="14">
        <f>Laborwerte!$A9</f>
        <v>7</v>
      </c>
      <c r="B9" s="14">
        <f>Laborwerte!$B9</f>
        <v>2700</v>
      </c>
      <c r="C9" s="14"/>
      <c r="D9" s="17">
        <f>'Laborwerte (Einheiten)'!$B$15+'Laborwerte (Einheiten)'!D9</f>
        <v>99640.658916</v>
      </c>
      <c r="E9" s="17">
        <f>'Laborwerte (Einheiten)'!$B$15+'Laborwerte (Einheiten)'!E9</f>
        <v>99606</v>
      </c>
      <c r="F9" s="17">
        <f>'Laborwerte (Einheiten)'!$B$15+'Laborwerte (Einheiten)'!F9</f>
        <v>105210</v>
      </c>
      <c r="G9" s="20">
        <f>'Laborwerte (Einheiten)'!$E$15+273.15</f>
        <v>296.15</v>
      </c>
      <c r="H9" s="20">
        <f>'Laborwerte (Einheiten)'!$E$15+273.15</f>
        <v>296.15</v>
      </c>
      <c r="I9" s="15">
        <f>'Laborwerte (Einheiten)'!G9+273.15</f>
        <v>302.15</v>
      </c>
      <c r="J9" s="20">
        <f>Konstanten!$C$3/(1-0.377*('Laborwerte (Einheiten)'!$H$15/100)*('Laborwerte (Einheiten)'!$B$16/'Laborwerte (Einheiten)'!$B$15))</f>
        <v>288.7407541918225</v>
      </c>
      <c r="K9" s="19">
        <f t="shared" si="6"/>
        <v>1.165243710135903</v>
      </c>
      <c r="L9" s="19">
        <f t="shared" si="7"/>
        <v>1.1648383928255952</v>
      </c>
      <c r="M9" s="19">
        <f t="shared" si="8"/>
        <v>1.205941763040635</v>
      </c>
      <c r="N9" s="19">
        <f t="shared" si="9"/>
        <v>1.185390077933115</v>
      </c>
      <c r="O9" s="14">
        <f>Laborwerte!$A9</f>
        <v>7</v>
      </c>
      <c r="P9" s="14">
        <f>Laborwerte!$B9</f>
        <v>2700</v>
      </c>
      <c r="Q9" s="14"/>
      <c r="R9" s="19">
        <f>1-0.55*('Laborwerte (Einheiten)'!D9/'Laborwerte (Einheiten)'!$B$15)</f>
        <v>1.0014278037657658</v>
      </c>
      <c r="S9" s="19">
        <f>(SQRT(2*('Laborwerte (Einheiten)'!D9*-1)/Auswertung!K9))*(PI()*SUMSQ(Konstanten!$C$5)/4)*R9*Konstanten!$C$4</f>
        <v>0.6571234829204617</v>
      </c>
      <c r="T9" s="19">
        <f t="shared" si="10"/>
        <v>0.7657090052556655</v>
      </c>
      <c r="U9" s="19">
        <f t="shared" si="11"/>
        <v>0.6573521356883288</v>
      </c>
      <c r="V9" s="19">
        <f t="shared" si="12"/>
        <v>0.6349469176065549</v>
      </c>
      <c r="W9" s="19">
        <f>U9/Konstanten!$C$8</f>
        <v>20.92416834936237</v>
      </c>
      <c r="X9" s="19">
        <f>V9/Konstanten!$C$9</f>
        <v>20.99692187852364</v>
      </c>
      <c r="Y9" s="19">
        <f>'Laborwerte (Einheiten)'!H9*Konstanten!$C$10</f>
        <v>17.406803749999998</v>
      </c>
      <c r="Z9" s="17">
        <f t="shared" si="13"/>
        <v>4921.657810513133</v>
      </c>
      <c r="AA9" s="15">
        <f>(17.1+0.048*'Laborwerte (Einheiten)'!$E$15)*POWER(10,-6)</f>
        <v>1.8204E-05</v>
      </c>
      <c r="AB9" s="15">
        <f>(17.1+0.048*'Laborwerte (Einheiten)'!G9)*POWER(10,-6)</f>
        <v>1.8492E-05</v>
      </c>
      <c r="AC9" s="14">
        <f>Laborwerte!$A9</f>
        <v>7</v>
      </c>
      <c r="AD9" s="14">
        <f>Laborwerte!$B9</f>
        <v>2700</v>
      </c>
      <c r="AE9" s="14"/>
      <c r="AF9" s="22">
        <f t="shared" si="14"/>
        <v>1.5627918956072375E-05</v>
      </c>
      <c r="AG9" s="22">
        <f t="shared" si="15"/>
        <v>1.533407380583178E-05</v>
      </c>
      <c r="AH9" s="22">
        <f>W9*Konstanten!$C$5/AF9</f>
        <v>267779.33016132115</v>
      </c>
      <c r="AI9" s="22">
        <f>X9*Konstanten!$C$11/AG9</f>
        <v>226270.93956910205</v>
      </c>
      <c r="AJ9" s="19">
        <f t="shared" si="16"/>
        <v>0.03423233309804213</v>
      </c>
      <c r="AK9" s="19">
        <f t="shared" si="17"/>
        <v>0.21202660488673933</v>
      </c>
      <c r="AL9" s="19">
        <f t="shared" si="18"/>
        <v>0.1266579004895464</v>
      </c>
      <c r="AM9" s="19">
        <f t="shared" si="19"/>
        <v>0.3729168384743279</v>
      </c>
      <c r="AN9" s="19">
        <f t="shared" si="20"/>
        <v>0.046187596808501694</v>
      </c>
      <c r="AO9" s="20">
        <f t="shared" si="0"/>
        <v>95.09202275620953</v>
      </c>
      <c r="AP9" s="20">
        <f t="shared" si="1"/>
        <v>12.27815101379573</v>
      </c>
      <c r="AQ9" s="17">
        <f t="shared" si="2"/>
        <v>5713.177838672533</v>
      </c>
      <c r="AR9" s="14">
        <f>Laborwerte!$A9</f>
        <v>7</v>
      </c>
      <c r="AS9" s="14">
        <f>Laborwerte!$B9</f>
        <v>2700</v>
      </c>
      <c r="AT9" s="14"/>
      <c r="AU9" s="17">
        <f t="shared" si="3"/>
        <v>4819.660586862864</v>
      </c>
      <c r="AV9" s="17">
        <f t="shared" si="4"/>
        <v>3690.4575136367007</v>
      </c>
      <c r="AW9" s="20">
        <f t="shared" si="5"/>
        <v>0.7498403293608771</v>
      </c>
    </row>
    <row r="10" spans="1:49" ht="12">
      <c r="A10" s="14">
        <f>Laborwerte!$A10</f>
        <v>8</v>
      </c>
      <c r="B10" s="14">
        <f>Laborwerte!$B10</f>
        <v>2700</v>
      </c>
      <c r="C10" s="14"/>
      <c r="D10" s="17">
        <f>'Laborwerte (Einheiten)'!$B$15+'Laborwerte (Einheiten)'!D10</f>
        <v>99451.7803152</v>
      </c>
      <c r="E10" s="17">
        <f>'Laborwerte (Einheiten)'!$B$15+'Laborwerte (Einheiten)'!E10</f>
        <v>99394</v>
      </c>
      <c r="F10" s="17">
        <f>'Laborwerte (Einheiten)'!$B$15+'Laborwerte (Einheiten)'!F10</f>
        <v>104410</v>
      </c>
      <c r="G10" s="20">
        <f>'Laborwerte (Einheiten)'!$E$15+273.15</f>
        <v>296.15</v>
      </c>
      <c r="H10" s="20">
        <f>'Laborwerte (Einheiten)'!$E$15+273.15</f>
        <v>296.15</v>
      </c>
      <c r="I10" s="15">
        <f>'Laborwerte (Einheiten)'!G10+273.15</f>
        <v>301.65</v>
      </c>
      <c r="J10" s="20">
        <f>Konstanten!$C$3/(1-0.377*('Laborwerte (Einheiten)'!$H$15/100)*('Laborwerte (Einheiten)'!$B$16/'Laborwerte (Einheiten)'!$B$15))</f>
        <v>288.7407541918225</v>
      </c>
      <c r="K10" s="19">
        <f t="shared" si="6"/>
        <v>1.1630348768749044</v>
      </c>
      <c r="L10" s="19">
        <f t="shared" si="7"/>
        <v>1.1623591672841715</v>
      </c>
      <c r="M10" s="19">
        <f t="shared" si="8"/>
        <v>1.1987556844541227</v>
      </c>
      <c r="N10" s="19">
        <f t="shared" si="9"/>
        <v>1.1805574258691471</v>
      </c>
      <c r="O10" s="14">
        <f>Laborwerte!$A10</f>
        <v>8</v>
      </c>
      <c r="P10" s="14">
        <f>Laborwerte!$B10</f>
        <v>2700</v>
      </c>
      <c r="Q10" s="14"/>
      <c r="R10" s="19">
        <f>1-0.55*('Laborwerte (Einheiten)'!D10/'Laborwerte (Einheiten)'!$B$15)</f>
        <v>1.0024676759423423</v>
      </c>
      <c r="S10" s="19">
        <f>(SQRT(2*('Laborwerte (Einheiten)'!D10*-1)/Auswertung!K10))*(PI()*SUMSQ(Konstanten!$C$5)/4)*R10*Konstanten!$C$4</f>
        <v>0.8656045621977736</v>
      </c>
      <c r="T10" s="19">
        <f t="shared" si="10"/>
        <v>1.0067282954180432</v>
      </c>
      <c r="U10" s="19">
        <f t="shared" si="11"/>
        <v>0.8661077606246641</v>
      </c>
      <c r="V10" s="19">
        <f t="shared" si="12"/>
        <v>0.839811071157904</v>
      </c>
      <c r="W10" s="19">
        <f>U10/Konstanten!$C$8</f>
        <v>27.56906627073346</v>
      </c>
      <c r="X10" s="19">
        <f>V10/Konstanten!$C$9</f>
        <v>27.771530130883068</v>
      </c>
      <c r="Y10" s="19">
        <f>'Laborwerte (Einheiten)'!H10*Konstanten!$C$10</f>
        <v>21.32946375</v>
      </c>
      <c r="Z10" s="17">
        <f t="shared" si="13"/>
        <v>6030.763795980882</v>
      </c>
      <c r="AA10" s="15">
        <f>(17.1+0.048*'Laborwerte (Einheiten)'!$E$15)*POWER(10,-6)</f>
        <v>1.8204E-05</v>
      </c>
      <c r="AB10" s="15">
        <f>(17.1+0.048*'Laborwerte (Einheiten)'!G10)*POWER(10,-6)</f>
        <v>1.8468E-05</v>
      </c>
      <c r="AC10" s="14">
        <f>Laborwerte!$A10</f>
        <v>8</v>
      </c>
      <c r="AD10" s="14">
        <f>Laborwerte!$B10</f>
        <v>2700</v>
      </c>
      <c r="AE10" s="14"/>
      <c r="AF10" s="22">
        <f t="shared" si="14"/>
        <v>1.5661252143374303E-05</v>
      </c>
      <c r="AG10" s="22">
        <f t="shared" si="15"/>
        <v>1.5405974911735057E-05</v>
      </c>
      <c r="AH10" s="22">
        <f>W10*Konstanten!$C$5/AF10</f>
        <v>352067.2040568214</v>
      </c>
      <c r="AI10" s="22">
        <f>X10*Konstanten!$C$11/AG10</f>
        <v>297879.9824531943</v>
      </c>
      <c r="AJ10" s="19">
        <f t="shared" si="16"/>
        <v>0.03244061609900422</v>
      </c>
      <c r="AK10" s="19">
        <f t="shared" si="17"/>
        <v>0.2051769344486776</v>
      </c>
      <c r="AL10" s="19">
        <f t="shared" si="18"/>
        <v>0.06483265326280148</v>
      </c>
      <c r="AM10" s="19">
        <f t="shared" si="19"/>
        <v>0.3024502038104833</v>
      </c>
      <c r="AN10" s="19">
        <f t="shared" si="20"/>
        <v>0.04371826173123361</v>
      </c>
      <c r="AO10" s="20">
        <f t="shared" si="0"/>
        <v>133.60058066020684</v>
      </c>
      <c r="AP10" s="20">
        <f t="shared" si="1"/>
        <v>20.20985451903052</v>
      </c>
      <c r="AQ10" s="17">
        <f t="shared" si="2"/>
        <v>5176.424195764733</v>
      </c>
      <c r="AR10" s="14">
        <f>Laborwerte!$A10</f>
        <v>8</v>
      </c>
      <c r="AS10" s="14">
        <f>Laborwerte!$B10</f>
        <v>2700</v>
      </c>
      <c r="AT10" s="14"/>
      <c r="AU10" s="17">
        <f t="shared" si="3"/>
        <v>4384.7288427784515</v>
      </c>
      <c r="AV10" s="17">
        <f t="shared" si="4"/>
        <v>4414.230593760679</v>
      </c>
      <c r="AW10" s="20">
        <f t="shared" si="5"/>
        <v>0.7319521611346279</v>
      </c>
    </row>
    <row r="11" spans="1:49" ht="12">
      <c r="A11" s="14">
        <f>Laborwerte!$A11</f>
        <v>9</v>
      </c>
      <c r="B11" s="14">
        <f>Laborwerte!$B11</f>
        <v>2700</v>
      </c>
      <c r="C11" s="14"/>
      <c r="D11" s="17">
        <f>'Laborwerte (Einheiten)'!$B$15+'Laborwerte (Einheiten)'!D11</f>
        <v>99190.48194</v>
      </c>
      <c r="E11" s="17">
        <f>'Laborwerte (Einheiten)'!$B$15+'Laborwerte (Einheiten)'!E11</f>
        <v>99102</v>
      </c>
      <c r="F11" s="17">
        <f>'Laborwerte (Einheiten)'!$B$15+'Laborwerte (Einheiten)'!F11</f>
        <v>103132</v>
      </c>
      <c r="G11" s="20">
        <f>'Laborwerte (Einheiten)'!$E$15+273.15</f>
        <v>296.15</v>
      </c>
      <c r="H11" s="20">
        <f>'Laborwerte (Einheiten)'!$E$15+273.15</f>
        <v>296.15</v>
      </c>
      <c r="I11" s="15">
        <f>'Laborwerte (Einheiten)'!G11+273.15</f>
        <v>301.15</v>
      </c>
      <c r="J11" s="20">
        <f>Konstanten!$C$3/(1-0.377*('Laborwerte (Einheiten)'!$H$15/100)*('Laborwerte (Einheiten)'!$B$16/'Laborwerte (Einheiten)'!$B$15))</f>
        <v>288.7407541918225</v>
      </c>
      <c r="K11" s="19">
        <f t="shared" si="6"/>
        <v>1.1599791334516576</v>
      </c>
      <c r="L11" s="19">
        <f t="shared" si="7"/>
        <v>1.158944384934664</v>
      </c>
      <c r="M11" s="19">
        <f t="shared" si="8"/>
        <v>1.1860486019089398</v>
      </c>
      <c r="N11" s="19">
        <f t="shared" si="9"/>
        <v>1.1724964934218018</v>
      </c>
      <c r="O11" s="14">
        <f>Laborwerte!$A11</f>
        <v>9</v>
      </c>
      <c r="P11" s="14">
        <f>Laborwerte!$B11</f>
        <v>2700</v>
      </c>
      <c r="Q11" s="14"/>
      <c r="R11" s="19">
        <f>1-0.55*('Laborwerte (Einheiten)'!D11/'Laborwerte (Einheiten)'!$B$15)</f>
        <v>1.0039062555855855</v>
      </c>
      <c r="S11" s="19">
        <f>(SQRT(2*('Laborwerte (Einheiten)'!D11*-1)/Auswertung!K11))*(PI()*SUMSQ(Konstanten!$C$5)/4)*R11*Konstanten!$C$4</f>
        <v>1.092068459712121</v>
      </c>
      <c r="T11" s="19">
        <f t="shared" si="10"/>
        <v>1.2667766255667527</v>
      </c>
      <c r="U11" s="19">
        <f t="shared" si="11"/>
        <v>1.0930434989235207</v>
      </c>
      <c r="V11" s="19">
        <f t="shared" si="12"/>
        <v>1.0680646843037305</v>
      </c>
      <c r="W11" s="19">
        <f>U11/Konstanten!$C$8</f>
        <v>34.79265517362782</v>
      </c>
      <c r="X11" s="19">
        <f>V11/Konstanten!$C$9</f>
        <v>35.31959934866833</v>
      </c>
      <c r="Y11" s="19">
        <f>'Laborwerte (Einheiten)'!H11*Konstanten!$C$10</f>
        <v>25.2030905</v>
      </c>
      <c r="Z11" s="17">
        <f t="shared" si="13"/>
        <v>7126.0059566302825</v>
      </c>
      <c r="AA11" s="15">
        <f>(17.1+0.048*'Laborwerte (Einheiten)'!$E$15)*POWER(10,-6)</f>
        <v>1.8204E-05</v>
      </c>
      <c r="AB11" s="15">
        <f>(17.1+0.048*'Laborwerte (Einheiten)'!G11)*POWER(10,-6)</f>
        <v>1.8444E-05</v>
      </c>
      <c r="AC11" s="14">
        <f>Laborwerte!$A11</f>
        <v>9</v>
      </c>
      <c r="AD11" s="14">
        <f>Laborwerte!$B11</f>
        <v>2700</v>
      </c>
      <c r="AE11" s="14"/>
      <c r="AF11" s="22">
        <f t="shared" si="14"/>
        <v>1.5707397383892808E-05</v>
      </c>
      <c r="AG11" s="22">
        <f t="shared" si="15"/>
        <v>1.555079612278491E-05</v>
      </c>
      <c r="AH11" s="22">
        <f>W11*Konstanten!$C$5/AF11</f>
        <v>443009.8038941326</v>
      </c>
      <c r="AI11" s="22">
        <f>X11*Konstanten!$C$11/AG11</f>
        <v>375313.19900462317</v>
      </c>
      <c r="AJ11" s="19">
        <f t="shared" si="16"/>
        <v>0.031045785355903847</v>
      </c>
      <c r="AK11" s="19">
        <f t="shared" si="17"/>
        <v>0.19959699787509536</v>
      </c>
      <c r="AL11" s="19">
        <f t="shared" si="18"/>
        <v>0.031476970206939306</v>
      </c>
      <c r="AM11" s="19">
        <f t="shared" si="19"/>
        <v>0.26211975343793853</v>
      </c>
      <c r="AN11" s="19">
        <f t="shared" si="20"/>
        <v>0.04179491561957541</v>
      </c>
      <c r="AO11" s="20">
        <f t="shared" si="0"/>
        <v>183.86856916339866</v>
      </c>
      <c r="AP11" s="20">
        <f t="shared" si="1"/>
        <v>30.91914528417253</v>
      </c>
      <c r="AQ11" s="17">
        <f t="shared" si="2"/>
        <v>4266.446799036924</v>
      </c>
      <c r="AR11" s="14">
        <f>Laborwerte!$A11</f>
        <v>9</v>
      </c>
      <c r="AS11" s="14">
        <f>Laborwerte!$B11</f>
        <v>2700</v>
      </c>
      <c r="AT11" s="14"/>
      <c r="AU11" s="17">
        <f t="shared" si="3"/>
        <v>3638.7714786129286</v>
      </c>
      <c r="AV11" s="17">
        <f t="shared" si="4"/>
        <v>4609.510654885829</v>
      </c>
      <c r="AW11" s="20">
        <f t="shared" si="5"/>
        <v>0.6468575360362955</v>
      </c>
    </row>
    <row r="12" spans="1:49" ht="12">
      <c r="A12" s="14">
        <f>Laborwerte!$A12</f>
        <v>10</v>
      </c>
      <c r="B12" s="14">
        <f>Laborwerte!$B12</f>
        <v>2700</v>
      </c>
      <c r="C12" s="14"/>
      <c r="D12" s="17">
        <f>'Laborwerte (Einheiten)'!$B$15+'Laborwerte (Einheiten)'!D12</f>
        <v>98852.849208</v>
      </c>
      <c r="E12" s="17">
        <f>'Laborwerte (Einheiten)'!$B$15+'Laborwerte (Einheiten)'!E12</f>
        <v>98723</v>
      </c>
      <c r="F12" s="17">
        <f>'Laborwerte (Einheiten)'!$B$15+'Laborwerte (Einheiten)'!F12</f>
        <v>101462</v>
      </c>
      <c r="G12" s="20">
        <f>'Laborwerte (Einheiten)'!$E$15+273.15</f>
        <v>296.15</v>
      </c>
      <c r="H12" s="20">
        <f>'Laborwerte (Einheiten)'!$E$15+273.15</f>
        <v>296.15</v>
      </c>
      <c r="I12" s="15">
        <f>'Laborwerte (Einheiten)'!G12+273.15</f>
        <v>301.15</v>
      </c>
      <c r="J12" s="20">
        <f>Konstanten!$C$3/(1-0.377*('Laborwerte (Einheiten)'!$H$15/100)*('Laborwerte (Einheiten)'!$B$16/'Laborwerte (Einheiten)'!$B$15))</f>
        <v>288.7407541918225</v>
      </c>
      <c r="K12" s="19">
        <f t="shared" si="6"/>
        <v>1.1560307009384738</v>
      </c>
      <c r="L12" s="19">
        <f t="shared" si="7"/>
        <v>1.1545121845563644</v>
      </c>
      <c r="M12" s="19">
        <f t="shared" si="8"/>
        <v>1.1668431063771172</v>
      </c>
      <c r="N12" s="19">
        <f t="shared" si="9"/>
        <v>1.1606776454667407</v>
      </c>
      <c r="O12" s="14">
        <f>Laborwerte!$A12</f>
        <v>10</v>
      </c>
      <c r="P12" s="14">
        <f>Laborwerte!$B12</f>
        <v>2700</v>
      </c>
      <c r="Q12" s="14"/>
      <c r="R12" s="19">
        <f>1-0.55*('Laborwerte (Einheiten)'!D12/'Laborwerte (Einheiten)'!$B$15)</f>
        <v>1.0057650944504504</v>
      </c>
      <c r="S12" s="19">
        <f>(SQRT(2*('Laborwerte (Einheiten)'!D12*-1)/Auswertung!K12))*(PI()*SUMSQ(Konstanten!$C$5)/4)*R12*Konstanten!$C$4</f>
        <v>1.3314245270131804</v>
      </c>
      <c r="T12" s="19">
        <f t="shared" si="10"/>
        <v>1.539167629209723</v>
      </c>
      <c r="U12" s="19">
        <f t="shared" si="11"/>
        <v>1.333175734131526</v>
      </c>
      <c r="V12" s="19">
        <f t="shared" si="12"/>
        <v>1.3190870484624284</v>
      </c>
      <c r="W12" s="19">
        <f>U12/Konstanten!$C$8</f>
        <v>42.43630161943976</v>
      </c>
      <c r="X12" s="19">
        <f>V12/Konstanten!$C$9</f>
        <v>43.62060345444539</v>
      </c>
      <c r="Y12" s="19">
        <f>'Laborwerte (Einheiten)'!H12*Konstanten!$C$10</f>
        <v>29.665116249999997</v>
      </c>
      <c r="Z12" s="17">
        <f t="shared" si="13"/>
        <v>8387.614015099847</v>
      </c>
      <c r="AA12" s="15">
        <f>(17.1+0.048*'Laborwerte (Einheiten)'!$E$15)*POWER(10,-6)</f>
        <v>1.8204E-05</v>
      </c>
      <c r="AB12" s="15">
        <f>(17.1+0.048*'Laborwerte (Einheiten)'!G12)*POWER(10,-6)</f>
        <v>1.8444E-05</v>
      </c>
      <c r="AC12" s="14">
        <f>Laborwerte!$A12</f>
        <v>10</v>
      </c>
      <c r="AD12" s="14">
        <f>Laborwerte!$B12</f>
        <v>2700</v>
      </c>
      <c r="AE12" s="14"/>
      <c r="AF12" s="22">
        <f t="shared" si="14"/>
        <v>1.5767698464780703E-05</v>
      </c>
      <c r="AG12" s="22">
        <f t="shared" si="15"/>
        <v>1.5806752338166535E-05</v>
      </c>
      <c r="AH12" s="22">
        <f>W12*Konstanten!$C$5/AF12</f>
        <v>538268.8122077804</v>
      </c>
      <c r="AI12" s="22">
        <f>X12*Konstanten!$C$11/AG12</f>
        <v>456015.6187477922</v>
      </c>
      <c r="AJ12" s="19">
        <f t="shared" si="16"/>
        <v>0.029936452604988558</v>
      </c>
      <c r="AK12" s="19">
        <f t="shared" si="17"/>
        <v>0.19498612082185582</v>
      </c>
      <c r="AL12" s="19">
        <f t="shared" si="18"/>
        <v>0.014767198758644</v>
      </c>
      <c r="AM12" s="19">
        <f t="shared" si="19"/>
        <v>0.23968977218548837</v>
      </c>
      <c r="AN12" s="19">
        <f t="shared" si="20"/>
        <v>0.04027415414012796</v>
      </c>
      <c r="AO12" s="20">
        <f t="shared" si="0"/>
        <v>249.16846847006772</v>
      </c>
      <c r="AP12" s="20">
        <f t="shared" si="1"/>
        <v>44.70871994586917</v>
      </c>
      <c r="AQ12" s="17">
        <f t="shared" si="2"/>
        <v>3092.023783675709</v>
      </c>
      <c r="AR12" s="14">
        <f>Laborwerte!$A12</f>
        <v>10</v>
      </c>
      <c r="AS12" s="14">
        <f>Laborwerte!$B12</f>
        <v>2700</v>
      </c>
      <c r="AT12" s="14"/>
      <c r="AU12" s="17">
        <f t="shared" si="3"/>
        <v>2663.981507485931</v>
      </c>
      <c r="AV12" s="17">
        <f t="shared" si="4"/>
        <v>4100.314101135665</v>
      </c>
      <c r="AW12" s="20">
        <f t="shared" si="5"/>
        <v>0.48885345626945303</v>
      </c>
    </row>
    <row r="13" spans="1:49" ht="12">
      <c r="A13" s="14">
        <f>Laborwerte!$A13</f>
        <v>11</v>
      </c>
      <c r="B13" s="14">
        <f>Laborwerte!$B13</f>
        <v>2700</v>
      </c>
      <c r="C13" s="14" t="str">
        <f>Laborwerte!$C13</f>
        <v>auf</v>
      </c>
      <c r="D13" s="17">
        <f>'Laborwerte (Einheiten)'!$B$15+'Laborwerte (Einheiten)'!D13</f>
        <v>98591.5508328</v>
      </c>
      <c r="E13" s="17">
        <f>'Laborwerte (Einheiten)'!$B$15+'Laborwerte (Einheiten)'!E13</f>
        <v>98432</v>
      </c>
      <c r="F13" s="17">
        <f>'Laborwerte (Einheiten)'!$B$15+'Laborwerte (Einheiten)'!F13</f>
        <v>99880</v>
      </c>
      <c r="G13" s="20">
        <f>'Laborwerte (Einheiten)'!$E$15+273.15</f>
        <v>296.15</v>
      </c>
      <c r="H13" s="20">
        <f>'Laborwerte (Einheiten)'!$E$15+273.15</f>
        <v>296.15</v>
      </c>
      <c r="I13" s="15">
        <f>'Laborwerte (Einheiten)'!G13+273.15</f>
        <v>301.15</v>
      </c>
      <c r="J13" s="20">
        <f>Konstanten!$C$3/(1-0.377*('Laborwerte (Einheiten)'!$H$15/100)*('Laborwerte (Einheiten)'!$B$16/'Laborwerte (Einheiten)'!$B$15))</f>
        <v>288.7407541918225</v>
      </c>
      <c r="K13" s="19">
        <f t="shared" si="6"/>
        <v>1.152974957515227</v>
      </c>
      <c r="L13" s="19">
        <f t="shared" si="7"/>
        <v>1.1511090966669577</v>
      </c>
      <c r="M13" s="19">
        <f t="shared" si="8"/>
        <v>1.148649636957151</v>
      </c>
      <c r="N13" s="19">
        <f t="shared" si="9"/>
        <v>1.1498793668120544</v>
      </c>
      <c r="O13" s="14">
        <f>Laborwerte!$A13</f>
        <v>11</v>
      </c>
      <c r="P13" s="14">
        <f>Laborwerte!$B13</f>
        <v>2700</v>
      </c>
      <c r="Q13" s="14" t="str">
        <f>Laborwerte!$C13</f>
        <v>auf</v>
      </c>
      <c r="R13" s="19">
        <f>1-0.55*('Laborwerte (Einheiten)'!D13/'Laborwerte (Einheiten)'!$B$15)</f>
        <v>1.0072036740936936</v>
      </c>
      <c r="S13" s="19">
        <f>(SQRT(2*('Laborwerte (Einheiten)'!D13*-1)/Auswertung!K13))*(PI()*SUMSQ(Konstanten!$C$5)/4)*R13*Konstanten!$C$4</f>
        <v>1.4924021180300207</v>
      </c>
      <c r="T13" s="19">
        <f t="shared" si="10"/>
        <v>1.7207022686312978</v>
      </c>
      <c r="U13" s="19">
        <f t="shared" si="11"/>
        <v>1.4948211890720005</v>
      </c>
      <c r="V13" s="19">
        <f t="shared" si="12"/>
        <v>1.4980218626016826</v>
      </c>
      <c r="W13" s="19">
        <f>U13/Konstanten!$C$8</f>
        <v>47.581636255862705</v>
      </c>
      <c r="X13" s="19">
        <f>V13/Konstanten!$C$9</f>
        <v>49.5377600066694</v>
      </c>
      <c r="Y13" s="19">
        <f>'Laborwerte (Einheiten)'!H13*Konstanten!$C$10</f>
        <v>32.116778749999995</v>
      </c>
      <c r="Z13" s="17">
        <f t="shared" si="13"/>
        <v>9080.805256017187</v>
      </c>
      <c r="AA13" s="15">
        <f>(17.1+0.048*'Laborwerte (Einheiten)'!$E$15)*POWER(10,-6)</f>
        <v>1.8204E-05</v>
      </c>
      <c r="AB13" s="15">
        <f>(17.1+0.048*'Laborwerte (Einheiten)'!G13)*POWER(10,-6)</f>
        <v>1.8444E-05</v>
      </c>
      <c r="AC13" s="14">
        <f>Laborwerte!$A13</f>
        <v>11</v>
      </c>
      <c r="AD13" s="14">
        <f>Laborwerte!$B13</f>
        <v>2700</v>
      </c>
      <c r="AE13" s="14" t="str">
        <f>Laborwerte!$C13</f>
        <v>auf</v>
      </c>
      <c r="AF13" s="22">
        <f t="shared" si="14"/>
        <v>1.5814313389330147E-05</v>
      </c>
      <c r="AG13" s="22">
        <f t="shared" si="15"/>
        <v>1.605711559606581E-05</v>
      </c>
      <c r="AH13" s="22">
        <f>W13*Konstanten!$C$5/AF13</f>
        <v>601754.0576622927</v>
      </c>
      <c r="AI13" s="22">
        <f>X13*Konstanten!$C$11/AG13</f>
        <v>509799.6441839893</v>
      </c>
      <c r="AJ13" s="19">
        <f t="shared" si="16"/>
        <v>0.029330003079593638</v>
      </c>
      <c r="AK13" s="19">
        <f t="shared" si="17"/>
        <v>0.19239479651922442</v>
      </c>
      <c r="AL13" s="19">
        <f t="shared" si="18"/>
        <v>0.008917433621802926</v>
      </c>
      <c r="AM13" s="19">
        <f t="shared" si="19"/>
        <v>0.23064223322062097</v>
      </c>
      <c r="AN13" s="19">
        <f t="shared" si="20"/>
        <v>0.03944278494392524</v>
      </c>
      <c r="AO13" s="20">
        <f t="shared" si="0"/>
        <v>300.5412373441389</v>
      </c>
      <c r="AP13" s="20">
        <f t="shared" si="1"/>
        <v>55.59015503911725</v>
      </c>
      <c r="AQ13" s="17">
        <f t="shared" si="2"/>
        <v>1913.357029257604</v>
      </c>
      <c r="AR13" s="14">
        <f>Laborwerte!$A13</f>
        <v>11</v>
      </c>
      <c r="AS13" s="14">
        <f>Laborwerte!$B13</f>
        <v>2700</v>
      </c>
      <c r="AT13" s="14" t="str">
        <f>Laborwerte!$C13</f>
        <v>auf</v>
      </c>
      <c r="AU13" s="17">
        <f t="shared" si="3"/>
        <v>1663.9632682184988</v>
      </c>
      <c r="AV13" s="17">
        <f t="shared" si="4"/>
        <v>2863.18537054272</v>
      </c>
      <c r="AW13" s="20">
        <f t="shared" si="5"/>
        <v>0.315300822979933</v>
      </c>
    </row>
    <row r="14" ht="9.75" customHeight="1"/>
    <row r="15" spans="1:49" ht="12">
      <c r="A15" s="12" t="s">
        <v>0</v>
      </c>
      <c r="B15" s="12" t="s">
        <v>1</v>
      </c>
      <c r="C15" s="12" t="s">
        <v>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2" t="s">
        <v>0</v>
      </c>
      <c r="P15" s="12" t="s">
        <v>1</v>
      </c>
      <c r="Q15" s="12" t="s">
        <v>2</v>
      </c>
      <c r="R15" s="15"/>
      <c r="S15" s="15"/>
      <c r="T15" s="15"/>
      <c r="U15" s="15"/>
      <c r="V15" s="15"/>
      <c r="W15" s="15"/>
      <c r="X15" s="15"/>
      <c r="Y15" s="12" t="s">
        <v>36</v>
      </c>
      <c r="Z15" s="15"/>
      <c r="AA15" s="15"/>
      <c r="AB15" s="15"/>
      <c r="AC15" s="12" t="s">
        <v>0</v>
      </c>
      <c r="AD15" s="12" t="s">
        <v>1</v>
      </c>
      <c r="AE15" s="12" t="s">
        <v>2</v>
      </c>
      <c r="AF15" s="15"/>
      <c r="AG15" s="15"/>
      <c r="AH15" s="15"/>
      <c r="AI15" s="15"/>
      <c r="AJ15" s="15"/>
      <c r="AK15" s="15"/>
      <c r="AL15" s="19"/>
      <c r="AM15" s="15"/>
      <c r="AN15" s="15"/>
      <c r="AO15" s="15"/>
      <c r="AP15" s="15"/>
      <c r="AQ15" s="15"/>
      <c r="AR15" s="12" t="s">
        <v>0</v>
      </c>
      <c r="AS15" s="12" t="s">
        <v>1</v>
      </c>
      <c r="AT15" s="12" t="s">
        <v>2</v>
      </c>
      <c r="AU15" s="15"/>
      <c r="AV15" s="15"/>
      <c r="AW15" s="15"/>
    </row>
    <row r="16" spans="1:49" ht="12">
      <c r="A16" s="12" t="s">
        <v>5</v>
      </c>
      <c r="B16" s="12"/>
      <c r="C16" s="12" t="s">
        <v>3</v>
      </c>
      <c r="D16" s="12" t="s">
        <v>16</v>
      </c>
      <c r="E16" s="12" t="s">
        <v>16</v>
      </c>
      <c r="F16" s="12" t="s">
        <v>16</v>
      </c>
      <c r="G16" s="12" t="s">
        <v>18</v>
      </c>
      <c r="H16" s="12" t="s">
        <v>18</v>
      </c>
      <c r="I16" s="12" t="s">
        <v>18</v>
      </c>
      <c r="J16" s="12" t="s">
        <v>19</v>
      </c>
      <c r="K16" s="12" t="s">
        <v>21</v>
      </c>
      <c r="L16" s="12" t="s">
        <v>21</v>
      </c>
      <c r="M16" s="12" t="s">
        <v>21</v>
      </c>
      <c r="N16" s="12" t="s">
        <v>21</v>
      </c>
      <c r="O16" s="12" t="s">
        <v>5</v>
      </c>
      <c r="P16" s="12"/>
      <c r="Q16" s="12" t="s">
        <v>3</v>
      </c>
      <c r="R16" s="12"/>
      <c r="S16" s="12" t="s">
        <v>30</v>
      </c>
      <c r="T16" s="12" t="s">
        <v>31</v>
      </c>
      <c r="U16" s="12" t="s">
        <v>30</v>
      </c>
      <c r="V16" s="12" t="s">
        <v>30</v>
      </c>
      <c r="W16" s="12" t="s">
        <v>31</v>
      </c>
      <c r="X16" s="12" t="s">
        <v>31</v>
      </c>
      <c r="Y16" s="12" t="s">
        <v>37</v>
      </c>
      <c r="Z16" s="12" t="s">
        <v>40</v>
      </c>
      <c r="AA16" s="12"/>
      <c r="AB16" s="12"/>
      <c r="AC16" s="12" t="s">
        <v>5</v>
      </c>
      <c r="AD16" s="12"/>
      <c r="AE16" s="12" t="s">
        <v>3</v>
      </c>
      <c r="AF16" s="12"/>
      <c r="AG16" s="12"/>
      <c r="AH16" s="12"/>
      <c r="AI16" s="12"/>
      <c r="AJ16" s="12"/>
      <c r="AK16" s="12"/>
      <c r="AL16" s="24"/>
      <c r="AM16" s="12"/>
      <c r="AN16" s="12"/>
      <c r="AO16" s="12" t="s">
        <v>16</v>
      </c>
      <c r="AP16" s="12" t="s">
        <v>16</v>
      </c>
      <c r="AQ16" s="12" t="s">
        <v>16</v>
      </c>
      <c r="AR16" s="12" t="s">
        <v>5</v>
      </c>
      <c r="AS16" s="12"/>
      <c r="AT16" s="12" t="s">
        <v>3</v>
      </c>
      <c r="AU16" s="12" t="s">
        <v>42</v>
      </c>
      <c r="AV16" s="12" t="s">
        <v>40</v>
      </c>
      <c r="AW16" s="12"/>
    </row>
    <row r="17" spans="1:49" ht="12">
      <c r="A17" s="14">
        <f>Laborwerte!$A21</f>
        <v>1</v>
      </c>
      <c r="B17" s="14">
        <f>Laborwerte!$B21</f>
        <v>2550</v>
      </c>
      <c r="C17" s="14" t="str">
        <f>Laborwerte!$C21</f>
        <v>zu</v>
      </c>
      <c r="D17" s="17">
        <f>'Laborwerte (Einheiten)'!$B$15+'Laborwerte (Einheiten)'!D21</f>
        <v>99900</v>
      </c>
      <c r="E17" s="17">
        <f>'Laborwerte (Einheiten)'!$B$15+'Laborwerte (Einheiten)'!E21</f>
        <v>99900.001</v>
      </c>
      <c r="F17" s="17">
        <f>'Laborwerte (Einheiten)'!$B$15+'Laborwerte (Einheiten)'!F21</f>
        <v>104680</v>
      </c>
      <c r="G17" s="15">
        <f>'Laborwerte (Einheiten)'!$E$33+273.15</f>
        <v>296.15</v>
      </c>
      <c r="H17" s="15">
        <f>'Laborwerte (Einheiten)'!$E$33+273.15</f>
        <v>296.15</v>
      </c>
      <c r="I17" s="15">
        <f>'Laborwerte (Einheiten)'!G21+273.15</f>
        <v>307.15</v>
      </c>
      <c r="J17" s="20">
        <f>Konstanten!$C$3/(1-0.377*('Laborwerte (Einheiten)'!$H$33/100)*('Laborwerte (Einheiten)'!$B$34/'Laborwerte (Einheiten)'!$B$33))</f>
        <v>288.7407541918225</v>
      </c>
      <c r="K17" s="19">
        <f>D17/(J17*G17)</f>
        <v>1.168276564095305</v>
      </c>
      <c r="L17" s="19">
        <f>E17/(J17*H17)</f>
        <v>1.168276575789765</v>
      </c>
      <c r="M17" s="19">
        <f>F17/(J17*I17)</f>
        <v>1.1803345176379503</v>
      </c>
      <c r="N17" s="19">
        <f>(L17+M17)/2</f>
        <v>1.1743055467138577</v>
      </c>
      <c r="O17" s="14">
        <f>Laborwerte!$A21</f>
        <v>1</v>
      </c>
      <c r="P17" s="14">
        <f>Laborwerte!$B21</f>
        <v>2550</v>
      </c>
      <c r="Q17" s="14" t="str">
        <f>Laborwerte!$C21</f>
        <v>zu</v>
      </c>
      <c r="R17" s="19">
        <f>1-0.55*('Laborwerte (Einheiten)'!D21/'Laborwerte (Einheiten)'!$B$33)</f>
        <v>1</v>
      </c>
      <c r="S17" s="19">
        <f>(SQRT(2*'Laborwerte (Einheiten)'!D21/Auswertung!K17))*(PI()*SUMSQ(Konstanten!$C$5)/4)*R17*Konstanten!$C$4</f>
        <v>1.2730338645856518E-08</v>
      </c>
      <c r="T17" s="19">
        <f>S17*K17</f>
        <v>1.4872556292950932E-08</v>
      </c>
      <c r="U17" s="19">
        <f>(K17/L17)*S17</f>
        <v>1.2730338518425702E-08</v>
      </c>
      <c r="V17" s="19">
        <f>(K17/M17)*S17</f>
        <v>1.2600289215224716E-08</v>
      </c>
      <c r="W17" s="19">
        <f>U17/Konstanten!$C$8</f>
        <v>4.0521926048812115E-07</v>
      </c>
      <c r="X17" s="19">
        <f>V17/Konstanten!$C$9</f>
        <v>4.1667623066219297E-07</v>
      </c>
      <c r="Y17" s="19">
        <f>'Laborwerte (Einheiten)'!H21*Konstanten!$C$10</f>
        <v>3.67749375</v>
      </c>
      <c r="Z17" s="17">
        <f>2*PI()*Y17*(P17/60)</f>
        <v>982.0209246329022</v>
      </c>
      <c r="AA17" s="15">
        <f>(17.1+0.048*'Laborwerte (Einheiten)'!$E$33)*POWER(10,-6)</f>
        <v>1.8204E-05</v>
      </c>
      <c r="AB17" s="15">
        <f>(17.1+0.048*'Laborwerte (Einheiten)'!G21)*POWER(10,-6)</f>
        <v>1.8732000000000003E-05</v>
      </c>
      <c r="AC17" s="14">
        <f>Laborwerte!$A21</f>
        <v>1</v>
      </c>
      <c r="AD17" s="14">
        <f>Laborwerte!$B21</f>
        <v>2550</v>
      </c>
      <c r="AE17" s="14" t="str">
        <f>Laborwerte!$C21</f>
        <v>zu</v>
      </c>
      <c r="AF17" s="22">
        <f>AA17/L17</f>
        <v>1.558192672629248E-05</v>
      </c>
      <c r="AG17" s="22">
        <f>AB17/M17</f>
        <v>1.5870077270540148E-05</v>
      </c>
      <c r="AH17" s="22">
        <f>W17*Konstanten!$C$5/AF17</f>
        <v>0.0052011444746992205</v>
      </c>
      <c r="AI17" s="22">
        <f>X17*Konstanten!$C$11/AG17</f>
        <v>0.0043386076988593</v>
      </c>
      <c r="AJ17" s="19">
        <f>2.3*(0.005+0.42*POWER(AH17,-0.3))</f>
        <v>4.690439731327063</v>
      </c>
      <c r="AK17" s="19">
        <f>0.95*POWER(AH17,-0.12)</f>
        <v>1.78563107464999</v>
      </c>
      <c r="AL17" s="19">
        <f>1.0632*POWER(0.4518,AH17/100000)</f>
        <v>1.0631999560644216</v>
      </c>
      <c r="AM17" s="19">
        <f>AJ17+AK17+AL17</f>
        <v>7.5392707620414745</v>
      </c>
      <c r="AN17" s="19">
        <f>3*(0.005+0.42*POWER(AI17,-0.3))</f>
        <v>6.459146875672487</v>
      </c>
      <c r="AO17" s="17">
        <f aca="true" t="shared" si="21" ref="AO17:AO27">AM17*(L17/2)*W17*W17</f>
        <v>7.231446430339923E-13</v>
      </c>
      <c r="AP17" s="17">
        <f aca="true" t="shared" si="22" ref="AP17:AP27">AN17*(M17/2)*X17*X17</f>
        <v>6.61831945319815E-13</v>
      </c>
      <c r="AQ17" s="17">
        <f aca="true" t="shared" si="23" ref="AQ17:AQ27">F17-E17+(X17*X17-W17*W17)*(N17/2)+AO17+AP17</f>
        <v>4779.998999999998</v>
      </c>
      <c r="AR17" s="14">
        <f>Laborwerte!$A21</f>
        <v>1</v>
      </c>
      <c r="AS17" s="14">
        <f>Laborwerte!$B21</f>
        <v>2550</v>
      </c>
      <c r="AT17" s="14" t="str">
        <f>Laborwerte!$C21</f>
        <v>zu</v>
      </c>
      <c r="AU17" s="17">
        <f aca="true" t="shared" si="24" ref="AU17:AU27">AQ17/N17</f>
        <v>4070.490012906954</v>
      </c>
      <c r="AV17" s="17">
        <f aca="true" t="shared" si="25" ref="AV17:AV27">(L17/N17)*U17*AQ17</f>
        <v>6.053859185685323E-05</v>
      </c>
      <c r="AW17" s="20">
        <f aca="true" t="shared" si="26" ref="AW17:AW27">AV17/Z17</f>
        <v>6.164694696244247E-08</v>
      </c>
    </row>
    <row r="18" spans="1:49" ht="12">
      <c r="A18" s="14">
        <f>Laborwerte!$A22</f>
        <v>2</v>
      </c>
      <c r="B18" s="14">
        <f>Laborwerte!$B22</f>
        <v>2550</v>
      </c>
      <c r="C18" s="14"/>
      <c r="D18" s="17">
        <f>'Laborwerte (Einheiten)'!$B$15+'Laborwerte (Einheiten)'!D22</f>
        <v>99896.0854176</v>
      </c>
      <c r="E18" s="17">
        <f>'Laborwerte (Einheiten)'!$B$15+'Laborwerte (Einheiten)'!E22</f>
        <v>99897</v>
      </c>
      <c r="F18" s="17">
        <f>'Laborwerte (Einheiten)'!$B$15+'Laborwerte (Einheiten)'!F22</f>
        <v>104770</v>
      </c>
      <c r="G18" s="15">
        <f>'Laborwerte (Einheiten)'!$E$33+273.15</f>
        <v>296.15</v>
      </c>
      <c r="H18" s="15">
        <f>'Laborwerte (Einheiten)'!$E$33+273.15</f>
        <v>296.15</v>
      </c>
      <c r="I18" s="15">
        <f>'Laborwerte (Einheiten)'!G22+273.15</f>
        <v>307.15</v>
      </c>
      <c r="J18" s="20">
        <f>Konstanten!$C$3/(1-0.377*('Laborwerte (Einheiten)'!$H$33/100)*('Laborwerte (Einheiten)'!$B$34/'Laborwerte (Einheiten)'!$B$33))</f>
        <v>288.7407541918225</v>
      </c>
      <c r="K18" s="19">
        <f aca="true" t="shared" si="27" ref="K18:K27">D18/(J18*G18)</f>
        <v>1.168230785167616</v>
      </c>
      <c r="L18" s="19">
        <f aca="true" t="shared" si="28" ref="L18:L27">E18/(J18*H18)</f>
        <v>1.168241480715002</v>
      </c>
      <c r="M18" s="19">
        <f aca="true" t="shared" si="29" ref="M18:M27">F18/(J18*I18)</f>
        <v>1.1813493256871233</v>
      </c>
      <c r="N18" s="19">
        <f aca="true" t="shared" si="30" ref="N18:N27">(L18+M18)/2</f>
        <v>1.1747954032010626</v>
      </c>
      <c r="O18" s="14">
        <f>Laborwerte!$A22</f>
        <v>2</v>
      </c>
      <c r="P18" s="14">
        <f>Laborwerte!$B22</f>
        <v>2550</v>
      </c>
      <c r="Q18" s="14"/>
      <c r="R18" s="19">
        <f>1-0.55*('Laborwerte (Einheiten)'!D22/'Laborwerte (Einheiten)'!$B$33)</f>
        <v>1.0000215517549549</v>
      </c>
      <c r="S18" s="19">
        <f>(SQRT(2*('Laborwerte (Einheiten)'!D22*-1)/Auswertung!K18))*(PI()*SUMSQ(Konstanten!$C$5)/4)*R18*Konstanten!$C$4</f>
        <v>0.08051704377053874</v>
      </c>
      <c r="T18" s="19">
        <f aca="true" t="shared" si="31" ref="T18:T27">S18*K18</f>
        <v>0.09406248926343178</v>
      </c>
      <c r="U18" s="19">
        <f aca="true" t="shared" si="32" ref="U18:U27">(K18/L18)*S18</f>
        <v>0.08051630661655881</v>
      </c>
      <c r="V18" s="19">
        <f aca="true" t="shared" si="33" ref="V18:V27">(K18/M18)*S18</f>
        <v>0.07962292542785429</v>
      </c>
      <c r="W18" s="19">
        <f>U18/Konstanten!$C$8</f>
        <v>2.5629136395056027</v>
      </c>
      <c r="X18" s="19">
        <f>V18/Konstanten!$C$9</f>
        <v>2.6330332482756047</v>
      </c>
      <c r="Y18" s="19">
        <f>'Laborwerte (Einheiten)'!H22*Konstanten!$C$10</f>
        <v>4.903325</v>
      </c>
      <c r="Z18" s="17">
        <f aca="true" t="shared" si="34" ref="Z18:Z27">2*PI()*Y18*(P18/60)</f>
        <v>1309.3612328438696</v>
      </c>
      <c r="AA18" s="15">
        <f>(17.1+0.048*'Laborwerte (Einheiten)'!$E$33)*POWER(10,-6)</f>
        <v>1.8204E-05</v>
      </c>
      <c r="AB18" s="15">
        <f>(17.1+0.048*'Laborwerte (Einheiten)'!G22)*POWER(10,-6)</f>
        <v>1.8732000000000003E-05</v>
      </c>
      <c r="AC18" s="14">
        <f>Laborwerte!$A22</f>
        <v>2</v>
      </c>
      <c r="AD18" s="14">
        <f>Laborwerte!$B22</f>
        <v>2550</v>
      </c>
      <c r="AE18" s="14"/>
      <c r="AF18" s="22">
        <f aca="true" t="shared" si="35" ref="AF18:AF27">AA18/L18</f>
        <v>1.5582394822052166E-05</v>
      </c>
      <c r="AG18" s="22">
        <f aca="true" t="shared" si="36" ref="AG18:AG27">AB18/M18</f>
        <v>1.5856444484872982E-05</v>
      </c>
      <c r="AH18" s="22">
        <f>W18*Konstanten!$C$5/AF18</f>
        <v>32894.99038849374</v>
      </c>
      <c r="AI18" s="22">
        <f>X18*Konstanten!$C$11/AG18</f>
        <v>27439.818149192044</v>
      </c>
      <c r="AJ18" s="19">
        <f aca="true" t="shared" si="37" ref="AJ18:AJ27">2.3*(0.005+0.42*POWER(AH18,-0.3))</f>
        <v>0.05414206199895131</v>
      </c>
      <c r="AK18" s="19">
        <f aca="true" t="shared" si="38" ref="AK18:AK27">0.95*POWER(AH18,-0.12)</f>
        <v>0.272689260157367</v>
      </c>
      <c r="AL18" s="19">
        <f aca="true" t="shared" si="39" ref="AL18:AL27">1.0632*POWER(0.4518,AH18/100000)</f>
        <v>0.8186712936943557</v>
      </c>
      <c r="AM18" s="19">
        <f aca="true" t="shared" si="40" ref="AM18:AM27">AJ18+AK18+AL18</f>
        <v>1.145502615850674</v>
      </c>
      <c r="AN18" s="19">
        <f aca="true" t="shared" si="41" ref="AN18:AN27">3*(0.005+0.42*POWER(AI18,-0.3))</f>
        <v>0.07372948282769115</v>
      </c>
      <c r="AO18" s="17">
        <f t="shared" si="21"/>
        <v>4.395078708516688</v>
      </c>
      <c r="AP18" s="17">
        <f t="shared" si="22"/>
        <v>0.301927183619086</v>
      </c>
      <c r="AQ18" s="17">
        <f t="shared" si="23"/>
        <v>4877.9110170567055</v>
      </c>
      <c r="AR18" s="14">
        <f>Laborwerte!$A22</f>
        <v>2</v>
      </c>
      <c r="AS18" s="14">
        <f>Laborwerte!$B22</f>
        <v>2550</v>
      </c>
      <c r="AT18" s="14"/>
      <c r="AU18" s="17">
        <f t="shared" si="24"/>
        <v>4152.136622058153</v>
      </c>
      <c r="AV18" s="17">
        <f t="shared" si="25"/>
        <v>390.5603064326469</v>
      </c>
      <c r="AW18" s="20">
        <f t="shared" si="26"/>
        <v>0.2982830838701163</v>
      </c>
    </row>
    <row r="19" spans="1:49" ht="12">
      <c r="A19" s="14">
        <f>Laborwerte!$A23</f>
        <v>3</v>
      </c>
      <c r="B19" s="14">
        <f>Laborwerte!$B23</f>
        <v>2550</v>
      </c>
      <c r="C19" s="14"/>
      <c r="D19" s="17">
        <f>'Laborwerte (Einheiten)'!$B$15+'Laborwerte (Einheiten)'!D23</f>
        <v>99890.213544</v>
      </c>
      <c r="E19" s="17">
        <f>'Laborwerte (Einheiten)'!$B$15+'Laborwerte (Einheiten)'!E23</f>
        <v>99889</v>
      </c>
      <c r="F19" s="17">
        <f>'Laborwerte (Einheiten)'!$B$15+'Laborwerte (Einheiten)'!F23</f>
        <v>104850</v>
      </c>
      <c r="G19" s="15">
        <f>'Laborwerte (Einheiten)'!$E$33+273.15</f>
        <v>296.15</v>
      </c>
      <c r="H19" s="15">
        <f>'Laborwerte (Einheiten)'!$E$33+273.15</f>
        <v>296.15</v>
      </c>
      <c r="I19" s="15">
        <f>'Laborwerte (Einheiten)'!G23+273.15</f>
        <v>306.65</v>
      </c>
      <c r="J19" s="20">
        <f>Konstanten!$C$3/(1-0.377*('Laborwerte (Einheiten)'!$H$33/100)*('Laborwerte (Einheiten)'!$B$34/'Laborwerte (Einheiten)'!$B$33))</f>
        <v>288.7407541918225</v>
      </c>
      <c r="K19" s="19">
        <f t="shared" si="27"/>
        <v>1.1681621167760823</v>
      </c>
      <c r="L19" s="19">
        <f t="shared" si="28"/>
        <v>1.1681479250341935</v>
      </c>
      <c r="M19" s="19">
        <f t="shared" si="29"/>
        <v>1.1841790658193838</v>
      </c>
      <c r="N19" s="19">
        <f t="shared" si="30"/>
        <v>1.1761634954267888</v>
      </c>
      <c r="O19" s="14">
        <f>Laborwerte!$A23</f>
        <v>3</v>
      </c>
      <c r="P19" s="14">
        <f>Laborwerte!$B23</f>
        <v>2550</v>
      </c>
      <c r="Q19" s="14"/>
      <c r="R19" s="19">
        <f>1-0.55*('Laborwerte (Einheiten)'!D23/'Laborwerte (Einheiten)'!$B$33)</f>
        <v>1.0000538793873874</v>
      </c>
      <c r="S19" s="19">
        <f>(SQRT(2*('Laborwerte (Einheiten)'!D23*-1)/Auswertung!K19))*(PI()*SUMSQ(Konstanten!$C$5)/4)*R19*Konstanten!$C$4</f>
        <v>0.12731648176163</v>
      </c>
      <c r="T19" s="19">
        <f t="shared" si="31"/>
        <v>0.14872629083514916</v>
      </c>
      <c r="U19" s="19">
        <f t="shared" si="32"/>
        <v>0.12731802852005727</v>
      </c>
      <c r="V19" s="19">
        <f t="shared" si="33"/>
        <v>0.1255944266606665</v>
      </c>
      <c r="W19" s="19">
        <f>U19/Konstanten!$C$8</f>
        <v>4.0526587167364045</v>
      </c>
      <c r="X19" s="19">
        <f>V19/Konstanten!$C$9</f>
        <v>4.153254849889765</v>
      </c>
      <c r="Y19" s="19">
        <f>'Laborwerte (Einheiten)'!H23*Konstanten!$C$10</f>
        <v>5.9820565</v>
      </c>
      <c r="Z19" s="17">
        <f t="shared" si="34"/>
        <v>1597.4207040695208</v>
      </c>
      <c r="AA19" s="15">
        <f>(17.1+0.048*'Laborwerte (Einheiten)'!$E$33)*POWER(10,-6)</f>
        <v>1.8204E-05</v>
      </c>
      <c r="AB19" s="15">
        <f>(17.1+0.048*'Laborwerte (Einheiten)'!G23)*POWER(10,-6)</f>
        <v>1.8708E-05</v>
      </c>
      <c r="AC19" s="14">
        <f>Laborwerte!$A23</f>
        <v>3</v>
      </c>
      <c r="AD19" s="14">
        <f>Laborwerte!$B23</f>
        <v>2550</v>
      </c>
      <c r="AE19" s="14"/>
      <c r="AF19" s="22">
        <f t="shared" si="35"/>
        <v>1.5583642798892222E-05</v>
      </c>
      <c r="AG19" s="22">
        <f t="shared" si="36"/>
        <v>1.5798286374075648E-05</v>
      </c>
      <c r="AH19" s="22">
        <f>W19*Konstanten!$C$5/AF19</f>
        <v>52011.6993059478</v>
      </c>
      <c r="AI19" s="22">
        <f>X19*Konstanten!$C$11/AG19</f>
        <v>43441.94845931</v>
      </c>
      <c r="AJ19" s="19">
        <f t="shared" si="37"/>
        <v>0.048666084801307276</v>
      </c>
      <c r="AK19" s="19">
        <f t="shared" si="38"/>
        <v>0.25810206553113435</v>
      </c>
      <c r="AL19" s="19">
        <f t="shared" si="39"/>
        <v>0.7033097480111759</v>
      </c>
      <c r="AM19" s="19">
        <f t="shared" si="40"/>
        <v>1.0100778983436176</v>
      </c>
      <c r="AN19" s="19">
        <f t="shared" si="41"/>
        <v>0.06616791920593017</v>
      </c>
      <c r="AO19" s="17">
        <f t="shared" si="21"/>
        <v>9.689531509773369</v>
      </c>
      <c r="AP19" s="17">
        <f t="shared" si="22"/>
        <v>0.6757904074849377</v>
      </c>
      <c r="AQ19" s="17">
        <f t="shared" si="23"/>
        <v>4971.850773504811</v>
      </c>
      <c r="AR19" s="14">
        <f>Laborwerte!$A23</f>
        <v>3</v>
      </c>
      <c r="AS19" s="14">
        <f>Laborwerte!$B23</f>
        <v>2550</v>
      </c>
      <c r="AT19" s="14"/>
      <c r="AU19" s="17">
        <f t="shared" si="24"/>
        <v>4227.176572675978</v>
      </c>
      <c r="AV19" s="17">
        <f t="shared" si="25"/>
        <v>628.6922923593365</v>
      </c>
      <c r="AW19" s="20">
        <f t="shared" si="26"/>
        <v>0.3935671365456244</v>
      </c>
    </row>
    <row r="20" spans="1:49" ht="12">
      <c r="A20" s="14">
        <f>Laborwerte!$A24</f>
        <v>4</v>
      </c>
      <c r="B20" s="14">
        <f>Laborwerte!$B24</f>
        <v>2550</v>
      </c>
      <c r="C20" s="14"/>
      <c r="D20" s="17">
        <f>'Laborwerte (Einheiten)'!$B$15+'Laborwerte (Einheiten)'!D24</f>
        <v>99871.6192776</v>
      </c>
      <c r="E20" s="17">
        <f>'Laborwerte (Einheiten)'!$B$15+'Laborwerte (Einheiten)'!E24</f>
        <v>99868</v>
      </c>
      <c r="F20" s="17">
        <f>'Laborwerte (Einheiten)'!$B$15+'Laborwerte (Einheiten)'!F24</f>
        <v>104950</v>
      </c>
      <c r="G20" s="15">
        <f>'Laborwerte (Einheiten)'!$E$33+273.15</f>
        <v>296.15</v>
      </c>
      <c r="H20" s="15">
        <f>'Laborwerte (Einheiten)'!$E$33+273.15</f>
        <v>296.15</v>
      </c>
      <c r="I20" s="15">
        <f>'Laborwerte (Einheiten)'!G24+273.15</f>
        <v>305.65</v>
      </c>
      <c r="J20" s="20">
        <f>Konstanten!$C$3/(1-0.377*('Laborwerte (Einheiten)'!$H$33/100)*('Laborwerte (Einheiten)'!$B$34/'Laborwerte (Einheiten)'!$B$33))</f>
        <v>288.7407541918225</v>
      </c>
      <c r="K20" s="19">
        <f t="shared" si="27"/>
        <v>1.167944666869559</v>
      </c>
      <c r="L20" s="19">
        <f t="shared" si="28"/>
        <v>1.1679023413720713</v>
      </c>
      <c r="M20" s="19">
        <f t="shared" si="29"/>
        <v>1.1891864615390375</v>
      </c>
      <c r="N20" s="19">
        <f t="shared" si="30"/>
        <v>1.1785444014555544</v>
      </c>
      <c r="O20" s="14">
        <f>Laborwerte!$A24</f>
        <v>4</v>
      </c>
      <c r="P20" s="14">
        <f>Laborwerte!$B24</f>
        <v>2550</v>
      </c>
      <c r="Q20" s="14"/>
      <c r="R20" s="19">
        <f>1-0.55*('Laborwerte (Einheiten)'!D24/'Laborwerte (Einheiten)'!$B$33)</f>
        <v>1.0001562502234234</v>
      </c>
      <c r="S20" s="19">
        <f>(SQRT(2*('Laborwerte (Einheiten)'!D24*-1)/Auswertung!K20))*(PI()*SUMSQ(Konstanten!$C$5)/4)*R20*Konstanten!$C$4</f>
        <v>0.21685453426569254</v>
      </c>
      <c r="T20" s="19">
        <f t="shared" si="31"/>
        <v>0.2532740967820976</v>
      </c>
      <c r="U20" s="19">
        <f t="shared" si="32"/>
        <v>0.2168623932070784</v>
      </c>
      <c r="V20" s="19">
        <f t="shared" si="33"/>
        <v>0.21298097899156362</v>
      </c>
      <c r="W20" s="19">
        <f>U20/Konstanten!$C$8</f>
        <v>6.902944369928958</v>
      </c>
      <c r="X20" s="19">
        <f>V20/Konstanten!$C$9</f>
        <v>7.043021792049061</v>
      </c>
      <c r="Y20" s="19">
        <f>'Laborwerte (Einheiten)'!H24*Konstanten!$C$10</f>
        <v>7.7472535</v>
      </c>
      <c r="Z20" s="17">
        <f t="shared" si="34"/>
        <v>2068.790747893314</v>
      </c>
      <c r="AA20" s="15">
        <f>(17.1+0.048*'Laborwerte (Einheiten)'!$E$33)*POWER(10,-6)</f>
        <v>1.8204E-05</v>
      </c>
      <c r="AB20" s="15">
        <f>(17.1+0.048*'Laborwerte (Einheiten)'!G24)*POWER(10,-6)</f>
        <v>1.866E-05</v>
      </c>
      <c r="AC20" s="14">
        <f>Laborwerte!$A24</f>
        <v>4</v>
      </c>
      <c r="AD20" s="14">
        <f>Laborwerte!$B24</f>
        <v>2550</v>
      </c>
      <c r="AE20" s="14"/>
      <c r="AF20" s="22">
        <f t="shared" si="35"/>
        <v>1.5586919689375427E-05</v>
      </c>
      <c r="AG20" s="22">
        <f t="shared" si="36"/>
        <v>1.569139962781812E-05</v>
      </c>
      <c r="AH20" s="22">
        <f>W20*Konstanten!$C$5/AF20</f>
        <v>88573.55407604031</v>
      </c>
      <c r="AI20" s="22">
        <f>X20*Konstanten!$C$11/AG20</f>
        <v>74169.96022645605</v>
      </c>
      <c r="AJ20" s="19">
        <f t="shared" si="37"/>
        <v>0.04318005340216794</v>
      </c>
      <c r="AK20" s="19">
        <f t="shared" si="38"/>
        <v>0.2421291719054136</v>
      </c>
      <c r="AL20" s="19">
        <f t="shared" si="39"/>
        <v>0.5260034314607895</v>
      </c>
      <c r="AM20" s="19">
        <f t="shared" si="40"/>
        <v>0.811312656768371</v>
      </c>
      <c r="AN20" s="19">
        <f t="shared" si="41"/>
        <v>0.058581495729810806</v>
      </c>
      <c r="AO20" s="17">
        <f t="shared" si="21"/>
        <v>22.57530006516221</v>
      </c>
      <c r="AP20" s="17">
        <f t="shared" si="22"/>
        <v>1.727819937322445</v>
      </c>
      <c r="AQ20" s="17">
        <f t="shared" si="23"/>
        <v>5107.454272079174</v>
      </c>
      <c r="AR20" s="14">
        <f>Laborwerte!$A24</f>
        <v>4</v>
      </c>
      <c r="AS20" s="14">
        <f>Laborwerte!$B24</f>
        <v>2550</v>
      </c>
      <c r="AT20" s="14"/>
      <c r="AU20" s="17">
        <f t="shared" si="24"/>
        <v>4333.69694495281</v>
      </c>
      <c r="AV20" s="17">
        <f t="shared" si="25"/>
        <v>1097.6131794602588</v>
      </c>
      <c r="AW20" s="20">
        <f t="shared" si="26"/>
        <v>0.53055785394341</v>
      </c>
    </row>
    <row r="21" spans="1:49" ht="12">
      <c r="A21" s="14">
        <f>Laborwerte!$A25</f>
        <v>5</v>
      </c>
      <c r="B21" s="14">
        <f>Laborwerte!$B25</f>
        <v>2550</v>
      </c>
      <c r="C21" s="14"/>
      <c r="D21" s="17">
        <f>'Laborwerte (Einheiten)'!$B$15+'Laborwerte (Einheiten)'!D25</f>
        <v>99834.4307448</v>
      </c>
      <c r="E21" s="17">
        <f>'Laborwerte (Einheiten)'!$B$15+'Laborwerte (Einheiten)'!E25</f>
        <v>99825</v>
      </c>
      <c r="F21" s="17">
        <f>'Laborwerte (Einheiten)'!$B$15+'Laborwerte (Einheiten)'!F25</f>
        <v>104950</v>
      </c>
      <c r="G21" s="15">
        <f>'Laborwerte (Einheiten)'!$E$33+273.15</f>
        <v>296.15</v>
      </c>
      <c r="H21" s="15">
        <f>'Laborwerte (Einheiten)'!$E$33+273.15</f>
        <v>296.15</v>
      </c>
      <c r="I21" s="15">
        <f>'Laborwerte (Einheiten)'!G25+273.15</f>
        <v>304.15</v>
      </c>
      <c r="J21" s="20">
        <f>Konstanten!$C$3/(1-0.377*('Laborwerte (Einheiten)'!$H$33/100)*('Laborwerte (Einheiten)'!$B$34/'Laborwerte (Einheiten)'!$B$33))</f>
        <v>288.7407541918225</v>
      </c>
      <c r="K21" s="19">
        <f t="shared" si="27"/>
        <v>1.1675097670565129</v>
      </c>
      <c r="L21" s="19">
        <f t="shared" si="28"/>
        <v>1.167399479587726</v>
      </c>
      <c r="M21" s="19">
        <f t="shared" si="29"/>
        <v>1.1950512640782733</v>
      </c>
      <c r="N21" s="19">
        <f t="shared" si="30"/>
        <v>1.1812253718329997</v>
      </c>
      <c r="O21" s="14">
        <f>Laborwerte!$A25</f>
        <v>5</v>
      </c>
      <c r="P21" s="14">
        <f>Laborwerte!$B25</f>
        <v>2550</v>
      </c>
      <c r="Q21" s="14"/>
      <c r="R21" s="19">
        <f>1-0.55*('Laborwerte (Einheiten)'!D25/'Laborwerte (Einheiten)'!$B$33)</f>
        <v>1.0003609918954954</v>
      </c>
      <c r="S21" s="19">
        <f>(SQRT(2*('Laborwerte (Einheiten)'!D25*-1)/Auswertung!K21))*(PI()*SUMSQ(Konstanten!$C$5)/4)*R21*Konstanten!$C$4</f>
        <v>0.32974382975874345</v>
      </c>
      <c r="T21" s="19">
        <f t="shared" si="31"/>
        <v>0.384979141869953</v>
      </c>
      <c r="U21" s="19">
        <f t="shared" si="32"/>
        <v>0.32977498157349755</v>
      </c>
      <c r="V21" s="19">
        <f t="shared" si="33"/>
        <v>0.32214445810145403</v>
      </c>
      <c r="W21" s="19">
        <f>U21/Konstanten!$C$8</f>
        <v>10.497063685092167</v>
      </c>
      <c r="X21" s="19">
        <f>V21/Konstanten!$C$9</f>
        <v>10.65292520176766</v>
      </c>
      <c r="Y21" s="19">
        <f>'Laborwerte (Einheiten)'!H25*Konstanten!$C$10</f>
        <v>10.051816249999998</v>
      </c>
      <c r="Z21" s="17">
        <f t="shared" si="34"/>
        <v>2684.190527329932</v>
      </c>
      <c r="AA21" s="15">
        <f>(17.1+0.048*'Laborwerte (Einheiten)'!$E$33)*POWER(10,-6)</f>
        <v>1.8204E-05</v>
      </c>
      <c r="AB21" s="15">
        <f>(17.1+0.048*'Laborwerte (Einheiten)'!G25)*POWER(10,-6)</f>
        <v>1.8588E-05</v>
      </c>
      <c r="AC21" s="14">
        <f>Laborwerte!$A25</f>
        <v>5</v>
      </c>
      <c r="AD21" s="14">
        <f>Laborwerte!$B25</f>
        <v>2550</v>
      </c>
      <c r="AE21" s="14"/>
      <c r="AF21" s="22">
        <f t="shared" si="35"/>
        <v>1.5593633814560932E-05</v>
      </c>
      <c r="AG21" s="22">
        <f t="shared" si="36"/>
        <v>1.555414446118901E-05</v>
      </c>
      <c r="AH21" s="22">
        <f>W21*Konstanten!$C$5/AF21</f>
        <v>134632.6816433291</v>
      </c>
      <c r="AI21" s="22">
        <f>X21*Konstanten!$C$11/AG21</f>
        <v>113175.76704106445</v>
      </c>
      <c r="AJ21" s="19">
        <f t="shared" si="37"/>
        <v>0.03944035871463921</v>
      </c>
      <c r="AK21" s="19">
        <f t="shared" si="38"/>
        <v>0.23026373546047654</v>
      </c>
      <c r="AL21" s="19">
        <f t="shared" si="39"/>
        <v>0.3648041915539937</v>
      </c>
      <c r="AM21" s="19">
        <f t="shared" si="40"/>
        <v>0.6345082857291094</v>
      </c>
      <c r="AN21" s="19">
        <f t="shared" si="41"/>
        <v>0.053392333645660865</v>
      </c>
      <c r="AO21" s="17">
        <f t="shared" si="21"/>
        <v>40.809611605536794</v>
      </c>
      <c r="AP21" s="17">
        <f t="shared" si="22"/>
        <v>3.620538737401766</v>
      </c>
      <c r="AQ21" s="17">
        <f t="shared" si="23"/>
        <v>5171.377086957171</v>
      </c>
      <c r="AR21" s="14">
        <f>Laborwerte!$A25</f>
        <v>5</v>
      </c>
      <c r="AS21" s="14">
        <f>Laborwerte!$B25</f>
        <v>2550</v>
      </c>
      <c r="AT21" s="14"/>
      <c r="AU21" s="17">
        <f t="shared" si="24"/>
        <v>4377.976642113893</v>
      </c>
      <c r="AV21" s="17">
        <f t="shared" si="25"/>
        <v>1685.429690807705</v>
      </c>
      <c r="AW21" s="20">
        <f t="shared" si="26"/>
        <v>0.6279098572351594</v>
      </c>
    </row>
    <row r="22" spans="1:49" ht="12">
      <c r="A22" s="14">
        <f>Laborwerte!$A26</f>
        <v>6</v>
      </c>
      <c r="B22" s="14">
        <f>Laborwerte!$B26</f>
        <v>2550</v>
      </c>
      <c r="C22" s="14"/>
      <c r="D22" s="17">
        <f>'Laborwerte (Einheiten)'!$B$15+'Laborwerte (Einheiten)'!D26</f>
        <v>99776.6906544</v>
      </c>
      <c r="E22" s="17">
        <f>'Laborwerte (Einheiten)'!$B$15+'Laborwerte (Einheiten)'!E26</f>
        <v>99759</v>
      </c>
      <c r="F22" s="17">
        <f>'Laborwerte (Einheiten)'!$B$15+'Laborwerte (Einheiten)'!F26</f>
        <v>104884</v>
      </c>
      <c r="G22" s="15">
        <f>'Laborwerte (Einheiten)'!$E$33+273.15</f>
        <v>296.15</v>
      </c>
      <c r="H22" s="15">
        <f>'Laborwerte (Einheiten)'!$E$33+273.15</f>
        <v>296.15</v>
      </c>
      <c r="I22" s="15">
        <f>'Laborwerte (Einheiten)'!G26+273.15</f>
        <v>303.15</v>
      </c>
      <c r="J22" s="20">
        <f>Konstanten!$C$3/(1-0.377*('Laborwerte (Einheiten)'!$H$33/100)*('Laborwerte (Einheiten)'!$B$34/'Laborwerte (Einheiten)'!$B$33))</f>
        <v>288.7407541918225</v>
      </c>
      <c r="K22" s="19">
        <f t="shared" si="27"/>
        <v>1.1668345278730987</v>
      </c>
      <c r="L22" s="19">
        <f t="shared" si="28"/>
        <v>1.1666276452210564</v>
      </c>
      <c r="M22" s="19">
        <f t="shared" si="29"/>
        <v>1.1982393640828555</v>
      </c>
      <c r="N22" s="19">
        <f t="shared" si="30"/>
        <v>1.1824335046519558</v>
      </c>
      <c r="O22" s="14">
        <f>Laborwerte!$A26</f>
        <v>6</v>
      </c>
      <c r="P22" s="14">
        <f>Laborwerte!$B26</f>
        <v>2550</v>
      </c>
      <c r="Q22" s="14"/>
      <c r="R22" s="19">
        <f>1-0.55*('Laborwerte (Einheiten)'!D26/'Laborwerte (Einheiten)'!$B$33)</f>
        <v>1.000678880281081</v>
      </c>
      <c r="S22" s="19">
        <f>(SQRT(2*('Laborwerte (Einheiten)'!D26*-1)/Auswertung!K22))*(PI()*SUMSQ(Konstanten!$C$5)/4)*R22*Konstanten!$C$4</f>
        <v>0.4524683018017783</v>
      </c>
      <c r="T22" s="19">
        <f t="shared" si="31"/>
        <v>0.5279556373104207</v>
      </c>
      <c r="U22" s="19">
        <f t="shared" si="32"/>
        <v>0.4525485397788443</v>
      </c>
      <c r="V22" s="19">
        <f t="shared" si="33"/>
        <v>0.44060949183932324</v>
      </c>
      <c r="W22" s="19">
        <f>U22/Konstanten!$C$8</f>
        <v>14.405067418964459</v>
      </c>
      <c r="X22" s="19">
        <f>V22/Konstanten!$C$9</f>
        <v>14.570419703681324</v>
      </c>
      <c r="Y22" s="19">
        <f>'Laborwerte (Einheiten)'!H26*Konstanten!$C$10</f>
        <v>12.503478749999998</v>
      </c>
      <c r="Z22" s="17">
        <f t="shared" si="34"/>
        <v>3338.871143751867</v>
      </c>
      <c r="AA22" s="15">
        <f>(17.1+0.048*'Laborwerte (Einheiten)'!$E$33)*POWER(10,-6)</f>
        <v>1.8204E-05</v>
      </c>
      <c r="AB22" s="15">
        <f>(17.1+0.048*'Laborwerte (Einheiten)'!G26)*POWER(10,-6)</f>
        <v>1.8540000000000002E-05</v>
      </c>
      <c r="AC22" s="14">
        <f>Laborwerte!$A26</f>
        <v>6</v>
      </c>
      <c r="AD22" s="14">
        <f>Laborwerte!$B26</f>
        <v>2550</v>
      </c>
      <c r="AE22" s="14"/>
      <c r="AF22" s="22">
        <f t="shared" si="35"/>
        <v>1.560395047603269E-05</v>
      </c>
      <c r="AG22" s="22">
        <f t="shared" si="36"/>
        <v>1.5472701494989447E-05</v>
      </c>
      <c r="AH22" s="22">
        <f>W22*Konstanten!$C$5/AF22</f>
        <v>184633.59571783198</v>
      </c>
      <c r="AI22" s="22">
        <f>X22*Konstanten!$C$11/AG22</f>
        <v>155609.680829051</v>
      </c>
      <c r="AJ22" s="19">
        <f t="shared" si="37"/>
        <v>0.03691463683176697</v>
      </c>
      <c r="AK22" s="19">
        <f t="shared" si="38"/>
        <v>0.22170031898146386</v>
      </c>
      <c r="AL22" s="19">
        <f t="shared" si="39"/>
        <v>0.24520525815907762</v>
      </c>
      <c r="AM22" s="19">
        <f t="shared" si="40"/>
        <v>0.5038202139723085</v>
      </c>
      <c r="AN22" s="19">
        <f t="shared" si="41"/>
        <v>0.04989470744160157</v>
      </c>
      <c r="AO22" s="17">
        <f t="shared" si="21"/>
        <v>60.98295241095229</v>
      </c>
      <c r="AP22" s="17">
        <f t="shared" si="22"/>
        <v>6.346177154644988</v>
      </c>
      <c r="AQ22" s="17">
        <f t="shared" si="23"/>
        <v>5195.16174539226</v>
      </c>
      <c r="AR22" s="14">
        <f>Laborwerte!$A26</f>
        <v>6</v>
      </c>
      <c r="AS22" s="14">
        <f>Laborwerte!$B26</f>
        <v>2550</v>
      </c>
      <c r="AT22" s="14"/>
      <c r="AU22" s="17">
        <f t="shared" si="24"/>
        <v>4393.618520579246</v>
      </c>
      <c r="AV22" s="17">
        <f t="shared" si="25"/>
        <v>2319.635666131284</v>
      </c>
      <c r="AW22" s="20">
        <f t="shared" si="26"/>
        <v>0.6947365041241829</v>
      </c>
    </row>
    <row r="23" spans="1:49" ht="12">
      <c r="A23" s="14">
        <f>Laborwerte!$A27</f>
        <v>7</v>
      </c>
      <c r="B23" s="14">
        <f>Laborwerte!$B27</f>
        <v>2550</v>
      </c>
      <c r="C23" s="14"/>
      <c r="D23" s="17">
        <f>'Laborwerte (Einheiten)'!$B$15+'Laborwerte (Einheiten)'!D27</f>
        <v>99672.9542208</v>
      </c>
      <c r="E23" s="17">
        <f>'Laborwerte (Einheiten)'!$B$15+'Laborwerte (Einheiten)'!E27</f>
        <v>99641</v>
      </c>
      <c r="F23" s="17">
        <f>'Laborwerte (Einheiten)'!$B$15+'Laborwerte (Einheiten)'!F27</f>
        <v>104636</v>
      </c>
      <c r="G23" s="15">
        <f>'Laborwerte (Einheiten)'!$E$33+273.15</f>
        <v>296.15</v>
      </c>
      <c r="H23" s="15">
        <f>'Laborwerte (Einheiten)'!$E$33+273.15</f>
        <v>296.15</v>
      </c>
      <c r="I23" s="15">
        <f>'Laborwerte (Einheiten)'!G27+273.15</f>
        <v>302.15</v>
      </c>
      <c r="J23" s="20">
        <f>Konstanten!$C$3/(1-0.377*('Laborwerte (Einheiten)'!$H$33/100)*('Laborwerte (Einheiten)'!$B$34/'Laborwerte (Einheiten)'!$B$33))</f>
        <v>288.7407541918225</v>
      </c>
      <c r="K23" s="19">
        <f t="shared" si="27"/>
        <v>1.1656213862893379</v>
      </c>
      <c r="L23" s="19">
        <f t="shared" si="28"/>
        <v>1.165247698929132</v>
      </c>
      <c r="M23" s="19">
        <f t="shared" si="29"/>
        <v>1.1993624400486635</v>
      </c>
      <c r="N23" s="19">
        <f t="shared" si="30"/>
        <v>1.1823050694888977</v>
      </c>
      <c r="O23" s="14">
        <f>Laborwerte!$A27</f>
        <v>7</v>
      </c>
      <c r="P23" s="14">
        <f>Laborwerte!$B27</f>
        <v>2550</v>
      </c>
      <c r="Q23" s="14"/>
      <c r="R23" s="19">
        <f>1-0.55*('Laborwerte (Einheiten)'!D27/'Laborwerte (Einheiten)'!$B$33)</f>
        <v>1.0012500017873873</v>
      </c>
      <c r="S23" s="19">
        <f>(SQRT(2*('Laborwerte (Einheiten)'!D27*-1)/Auswertung!K23))*(PI()*SUMSQ(Konstanten!$C$5)/4)*R23*Konstanten!$C$4</f>
        <v>0.6146396287005711</v>
      </c>
      <c r="T23" s="19">
        <f t="shared" si="31"/>
        <v>0.7164370960743236</v>
      </c>
      <c r="U23" s="19">
        <f t="shared" si="32"/>
        <v>0.6148367396328974</v>
      </c>
      <c r="V23" s="19">
        <f t="shared" si="33"/>
        <v>0.597348284514608</v>
      </c>
      <c r="W23" s="19">
        <f>U23/Konstanten!$C$8</f>
        <v>19.570861261416052</v>
      </c>
      <c r="X23" s="19">
        <f>V23/Konstanten!$C$9</f>
        <v>19.75358083712328</v>
      </c>
      <c r="Y23" s="19">
        <f>'Laborwerte (Einheiten)'!H27*Konstanten!$C$10</f>
        <v>15.298373999999999</v>
      </c>
      <c r="Z23" s="17">
        <f t="shared" si="34"/>
        <v>4085.2070464728727</v>
      </c>
      <c r="AA23" s="15">
        <f>(17.1+0.048*'Laborwerte (Einheiten)'!$E$33)*POWER(10,-6)</f>
        <v>1.8204E-05</v>
      </c>
      <c r="AB23" s="15">
        <f>(17.1+0.048*'Laborwerte (Einheiten)'!G27)*POWER(10,-6)</f>
        <v>1.8492E-05</v>
      </c>
      <c r="AC23" s="14">
        <f>Laborwerte!$A27</f>
        <v>7</v>
      </c>
      <c r="AD23" s="14">
        <f>Laborwerte!$B27</f>
        <v>2550</v>
      </c>
      <c r="AE23" s="14"/>
      <c r="AF23" s="22">
        <f t="shared" si="35"/>
        <v>1.5622429477208632E-05</v>
      </c>
      <c r="AG23" s="22">
        <f t="shared" si="36"/>
        <v>1.541819168461678E-05</v>
      </c>
      <c r="AH23" s="22">
        <f>W23*Konstanten!$C$5/AF23</f>
        <v>250548.24270409078</v>
      </c>
      <c r="AI23" s="22">
        <f>X23*Konstanten!$C$11/AG23</f>
        <v>211710.8376135253</v>
      </c>
      <c r="AJ23" s="19">
        <f t="shared" si="37"/>
        <v>0.03469047894713714</v>
      </c>
      <c r="AK23" s="19">
        <f t="shared" si="38"/>
        <v>0.21372564773500985</v>
      </c>
      <c r="AL23" s="19">
        <f t="shared" si="39"/>
        <v>0.14524085681127535</v>
      </c>
      <c r="AM23" s="19">
        <f t="shared" si="40"/>
        <v>0.3936569834934224</v>
      </c>
      <c r="AN23" s="19">
        <f t="shared" si="41"/>
        <v>0.04681614945021423</v>
      </c>
      <c r="AO23" s="17">
        <f t="shared" si="21"/>
        <v>87.84683013081299</v>
      </c>
      <c r="AP23" s="17">
        <f t="shared" si="22"/>
        <v>10.954884605240602</v>
      </c>
      <c r="AQ23" s="17">
        <f t="shared" si="23"/>
        <v>5098.049349867599</v>
      </c>
      <c r="AR23" s="14">
        <f>Laborwerte!$A27</f>
        <v>7</v>
      </c>
      <c r="AS23" s="14">
        <f>Laborwerte!$B27</f>
        <v>2550</v>
      </c>
      <c r="AT23" s="14"/>
      <c r="AU23" s="17">
        <f t="shared" si="24"/>
        <v>4311.957616887704</v>
      </c>
      <c r="AV23" s="17">
        <f t="shared" si="25"/>
        <v>3089.2463934385873</v>
      </c>
      <c r="AW23" s="20">
        <f t="shared" si="26"/>
        <v>0.7562031393502594</v>
      </c>
    </row>
    <row r="24" spans="1:49" ht="12">
      <c r="A24" s="14">
        <f>Laborwerte!$A28</f>
        <v>8</v>
      </c>
      <c r="B24" s="14">
        <f>Laborwerte!$B28</f>
        <v>2550</v>
      </c>
      <c r="C24" s="14"/>
      <c r="D24" s="17">
        <f>'Laborwerte (Einheiten)'!$B$15+'Laborwerte (Einheiten)'!D28</f>
        <v>99500.7125952</v>
      </c>
      <c r="E24" s="17">
        <f>'Laborwerte (Einheiten)'!$B$15+'Laborwerte (Einheiten)'!E28</f>
        <v>99448</v>
      </c>
      <c r="F24" s="17">
        <f>'Laborwerte (Einheiten)'!$B$15+'Laborwerte (Einheiten)'!F28</f>
        <v>103904</v>
      </c>
      <c r="G24" s="15">
        <f>'Laborwerte (Einheiten)'!$E$33+273.15</f>
        <v>296.15</v>
      </c>
      <c r="H24" s="15">
        <f>'Laborwerte (Einheiten)'!$E$33+273.15</f>
        <v>296.15</v>
      </c>
      <c r="I24" s="15">
        <f>'Laborwerte (Einheiten)'!G28+273.15</f>
        <v>302.15</v>
      </c>
      <c r="J24" s="20">
        <f>Konstanten!$C$3/(1-0.377*('Laborwerte (Einheiten)'!$H$33/100)*('Laborwerte (Einheiten)'!$B$34/'Laborwerte (Einheiten)'!$B$33))</f>
        <v>288.7407541918225</v>
      </c>
      <c r="K24" s="19">
        <f t="shared" si="27"/>
        <v>1.163607113471018</v>
      </c>
      <c r="L24" s="19">
        <f t="shared" si="28"/>
        <v>1.1629906681296285</v>
      </c>
      <c r="M24" s="19">
        <f t="shared" si="29"/>
        <v>1.1909720838986233</v>
      </c>
      <c r="N24" s="19">
        <f t="shared" si="30"/>
        <v>1.176981376014126</v>
      </c>
      <c r="O24" s="14">
        <f>Laborwerte!$A28</f>
        <v>8</v>
      </c>
      <c r="P24" s="14">
        <f>Laborwerte!$B28</f>
        <v>2550</v>
      </c>
      <c r="Q24" s="14"/>
      <c r="R24" s="19">
        <f>1-0.55*('Laborwerte (Einheiten)'!D28/'Laborwerte (Einheiten)'!$B$33)</f>
        <v>1.0021982790054054</v>
      </c>
      <c r="S24" s="19">
        <f>(SQRT(2*('Laborwerte (Einheiten)'!D28*-1)/Auswertung!K24))*(PI()*SUMSQ(Konstanten!$C$5)/4)*R24*Konstanten!$C$4</f>
        <v>0.8165698479447044</v>
      </c>
      <c r="T24" s="19">
        <f t="shared" si="31"/>
        <v>0.9501664837144056</v>
      </c>
      <c r="U24" s="19">
        <f t="shared" si="32"/>
        <v>0.8170026722935826</v>
      </c>
      <c r="V24" s="19">
        <f t="shared" si="33"/>
        <v>0.7978075192191363</v>
      </c>
      <c r="W24" s="19">
        <f>U24/Konstanten!$C$8</f>
        <v>26.006002762962307</v>
      </c>
      <c r="X24" s="19">
        <f>V24/Konstanten!$C$9</f>
        <v>26.382523783701597</v>
      </c>
      <c r="Y24" s="19">
        <f>'Laborwerte (Einheiten)'!H28*Konstanten!$C$10</f>
        <v>18.9268345</v>
      </c>
      <c r="Z24" s="17">
        <f t="shared" si="34"/>
        <v>5054.134358777336</v>
      </c>
      <c r="AA24" s="15">
        <f>(17.1+0.048*'Laborwerte (Einheiten)'!$E$33)*POWER(10,-6)</f>
        <v>1.8204E-05</v>
      </c>
      <c r="AB24" s="15">
        <f>(17.1+0.048*'Laborwerte (Einheiten)'!G28)*POWER(10,-6)</f>
        <v>1.8492E-05</v>
      </c>
      <c r="AC24" s="14">
        <f>Laborwerte!$A28</f>
        <v>8</v>
      </c>
      <c r="AD24" s="14">
        <f>Laborwerte!$B28</f>
        <v>2550</v>
      </c>
      <c r="AE24" s="14"/>
      <c r="AF24" s="22">
        <f t="shared" si="35"/>
        <v>1.565274812503565E-05</v>
      </c>
      <c r="AG24" s="22">
        <f t="shared" si="36"/>
        <v>1.5526812298964058E-05</v>
      </c>
      <c r="AH24" s="22">
        <f>W24*Konstanten!$C$5/AF24</f>
        <v>332286.73399998347</v>
      </c>
      <c r="AI24" s="22">
        <f>X24*Konstanten!$C$11/AG24</f>
        <v>280779.0708238346</v>
      </c>
      <c r="AJ24" s="19">
        <f t="shared" si="37"/>
        <v>0.032807045116614586</v>
      </c>
      <c r="AK24" s="19">
        <f t="shared" si="38"/>
        <v>0.20660557912124325</v>
      </c>
      <c r="AL24" s="19">
        <f t="shared" si="39"/>
        <v>0.0758659767695603</v>
      </c>
      <c r="AM24" s="19">
        <f t="shared" si="40"/>
        <v>0.3152786010074181</v>
      </c>
      <c r="AN24" s="19">
        <f t="shared" si="41"/>
        <v>0.044232174691948525</v>
      </c>
      <c r="AO24" s="17">
        <f t="shared" si="21"/>
        <v>123.99036479473293</v>
      </c>
      <c r="AP24" s="17">
        <f t="shared" si="22"/>
        <v>18.33338062186796</v>
      </c>
      <c r="AQ24" s="17">
        <f t="shared" si="23"/>
        <v>4609.931948741075</v>
      </c>
      <c r="AR24" s="14">
        <f>Laborwerte!$A28</f>
        <v>8</v>
      </c>
      <c r="AS24" s="14">
        <f>Laborwerte!$B28</f>
        <v>2550</v>
      </c>
      <c r="AT24" s="14"/>
      <c r="AU24" s="17">
        <f t="shared" si="24"/>
        <v>3916.7416262377183</v>
      </c>
      <c r="AV24" s="17">
        <f t="shared" si="25"/>
        <v>3721.5566186201354</v>
      </c>
      <c r="AW24" s="20">
        <f t="shared" si="26"/>
        <v>0.7363390749905648</v>
      </c>
    </row>
    <row r="25" spans="1:49" ht="12">
      <c r="A25" s="14">
        <f>Laborwerte!$A29</f>
        <v>9</v>
      </c>
      <c r="B25" s="14">
        <f>Laborwerte!$B29</f>
        <v>2550</v>
      </c>
      <c r="C25" s="14"/>
      <c r="D25" s="17">
        <f>'Laborwerte (Einheiten)'!$B$15+'Laborwerte (Einheiten)'!D29</f>
        <v>99271.7095248</v>
      </c>
      <c r="E25" s="17">
        <f>'Laborwerte (Einheiten)'!$B$15+'Laborwerte (Einheiten)'!E29</f>
        <v>99191</v>
      </c>
      <c r="F25" s="17">
        <f>'Laborwerte (Einheiten)'!$B$15+'Laborwerte (Einheiten)'!F29</f>
        <v>102798</v>
      </c>
      <c r="G25" s="15">
        <f>'Laborwerte (Einheiten)'!$E$33+273.15</f>
        <v>296.15</v>
      </c>
      <c r="H25" s="15">
        <f>'Laborwerte (Einheiten)'!$E$33+273.15</f>
        <v>296.15</v>
      </c>
      <c r="I25" s="15">
        <f>'Laborwerte (Einheiten)'!G29+273.15</f>
        <v>301.65</v>
      </c>
      <c r="J25" s="20">
        <f>Konstanten!$C$3/(1-0.377*('Laborwerte (Einheiten)'!$H$33/100)*('Laborwerte (Einheiten)'!$B$34/'Laborwerte (Einheiten)'!$B$33))</f>
        <v>288.7407541918225</v>
      </c>
      <c r="K25" s="19">
        <f t="shared" si="27"/>
        <v>1.1609290462012063</v>
      </c>
      <c r="L25" s="19">
        <f t="shared" si="28"/>
        <v>1.1599851918836577</v>
      </c>
      <c r="M25" s="19">
        <f t="shared" si="29"/>
        <v>1.1802479345897416</v>
      </c>
      <c r="N25" s="19">
        <f t="shared" si="30"/>
        <v>1.1701165632366997</v>
      </c>
      <c r="O25" s="14">
        <f>Laborwerte!$A29</f>
        <v>9</v>
      </c>
      <c r="P25" s="14">
        <f>Laborwerte!$B29</f>
        <v>2550</v>
      </c>
      <c r="Q25" s="14"/>
      <c r="R25" s="19">
        <f>1-0.55*('Laborwerte (Einheiten)'!D29/'Laborwerte (Einheiten)'!$B$33)</f>
        <v>1.0034590566702704</v>
      </c>
      <c r="S25" s="19">
        <f>(SQRT(2*('Laborwerte (Einheiten)'!D29*-1)/Auswertung!K25))*(PI()*SUMSQ(Konstanten!$C$5)/4)*R25*Konstanten!$C$4</f>
        <v>1.0267793397215388</v>
      </c>
      <c r="T25" s="19">
        <f t="shared" si="31"/>
        <v>1.1920179595220304</v>
      </c>
      <c r="U25" s="19">
        <f t="shared" si="32"/>
        <v>1.0276148073807354</v>
      </c>
      <c r="V25" s="19">
        <f t="shared" si="33"/>
        <v>1.0099725020373622</v>
      </c>
      <c r="W25" s="19">
        <f>U25/Konstanten!$C$8</f>
        <v>32.709995237813985</v>
      </c>
      <c r="X25" s="19">
        <f>V25/Konstanten!$C$9</f>
        <v>33.3985615753096</v>
      </c>
      <c r="Y25" s="19">
        <f>'Laborwerte (Einheiten)'!H29*Konstanten!$C$10</f>
        <v>22.310128749999997</v>
      </c>
      <c r="Z25" s="17">
        <f t="shared" si="34"/>
        <v>5957.593609439607</v>
      </c>
      <c r="AA25" s="15">
        <f>(17.1+0.048*'Laborwerte (Einheiten)'!$E$33)*POWER(10,-6)</f>
        <v>1.8204E-05</v>
      </c>
      <c r="AB25" s="15">
        <f>(17.1+0.048*'Laborwerte (Einheiten)'!G29)*POWER(10,-6)</f>
        <v>1.8468E-05</v>
      </c>
      <c r="AC25" s="14">
        <f>Laborwerte!$A29</f>
        <v>9</v>
      </c>
      <c r="AD25" s="14">
        <f>Laborwerte!$B29</f>
        <v>2550</v>
      </c>
      <c r="AE25" s="14"/>
      <c r="AF25" s="22">
        <f t="shared" si="35"/>
        <v>1.569330378298984E-05</v>
      </c>
      <c r="AG25" s="22">
        <f t="shared" si="36"/>
        <v>1.5647559685346572E-05</v>
      </c>
      <c r="AH25" s="22">
        <f>W25*Konstanten!$C$5/AF25</f>
        <v>416865.63505217736</v>
      </c>
      <c r="AI25" s="22">
        <f>X25*Konstanten!$C$11/AG25</f>
        <v>352705.18419159844</v>
      </c>
      <c r="AJ25" s="19">
        <f t="shared" si="37"/>
        <v>0.03140573865905588</v>
      </c>
      <c r="AK25" s="19">
        <f t="shared" si="38"/>
        <v>0.20105925727094268</v>
      </c>
      <c r="AL25" s="19">
        <f t="shared" si="39"/>
        <v>0.03874399179929309</v>
      </c>
      <c r="AM25" s="19">
        <f t="shared" si="40"/>
        <v>0.27120898772929164</v>
      </c>
      <c r="AN25" s="19">
        <f t="shared" si="41"/>
        <v>0.042299015944019205</v>
      </c>
      <c r="AO25" s="17">
        <f t="shared" si="21"/>
        <v>168.30130714348965</v>
      </c>
      <c r="AP25" s="17">
        <f t="shared" si="22"/>
        <v>27.84383445565221</v>
      </c>
      <c r="AQ25" s="17">
        <f t="shared" si="23"/>
        <v>3829.7770687883326</v>
      </c>
      <c r="AR25" s="14">
        <f>Laborwerte!$A29</f>
        <v>9</v>
      </c>
      <c r="AS25" s="14">
        <f>Laborwerte!$B29</f>
        <v>2550</v>
      </c>
      <c r="AT25" s="14"/>
      <c r="AU25" s="17">
        <f t="shared" si="24"/>
        <v>3272.9876570541437</v>
      </c>
      <c r="AV25" s="17">
        <f t="shared" si="25"/>
        <v>3901.4600685024716</v>
      </c>
      <c r="AW25" s="20">
        <f t="shared" si="26"/>
        <v>0.6548718029911841</v>
      </c>
    </row>
    <row r="26" spans="1:49" ht="12">
      <c r="A26" s="14">
        <f>Laborwerte!$A30</f>
        <v>10</v>
      </c>
      <c r="B26" s="14">
        <f>Laborwerte!$B30</f>
        <v>2550</v>
      </c>
      <c r="C26" s="14"/>
      <c r="D26" s="17">
        <f>'Laborwerte (Einheiten)'!$B$15+'Laborwerte (Einheiten)'!D30</f>
        <v>98960.500224</v>
      </c>
      <c r="E26" s="17">
        <f>'Laborwerte (Einheiten)'!$B$15+'Laborwerte (Einheiten)'!E30</f>
        <v>98845</v>
      </c>
      <c r="F26" s="17">
        <f>'Laborwerte (Einheiten)'!$B$15+'Laborwerte (Einheiten)'!F30</f>
        <v>101282</v>
      </c>
      <c r="G26" s="15">
        <f>'Laborwerte (Einheiten)'!$E$33+273.15</f>
        <v>296.15</v>
      </c>
      <c r="H26" s="15">
        <f>'Laborwerte (Einheiten)'!$E$33+273.15</f>
        <v>296.15</v>
      </c>
      <c r="I26" s="15">
        <f>'Laborwerte (Einheiten)'!G30+273.15</f>
        <v>301.15</v>
      </c>
      <c r="J26" s="20">
        <f>Konstanten!$C$3/(1-0.377*('Laborwerte (Einheiten)'!$H$33/100)*('Laborwerte (Einheiten)'!$B$34/'Laborwerte (Einheiten)'!$B$33))</f>
        <v>288.7407541918225</v>
      </c>
      <c r="K26" s="19">
        <f t="shared" si="27"/>
        <v>1.1572896214499238</v>
      </c>
      <c r="L26" s="19">
        <f t="shared" si="28"/>
        <v>1.1559389086886929</v>
      </c>
      <c r="M26" s="19">
        <f t="shared" si="29"/>
        <v>1.1647730529665015</v>
      </c>
      <c r="N26" s="19">
        <f t="shared" si="30"/>
        <v>1.1603559808275972</v>
      </c>
      <c r="O26" s="14">
        <f>Laborwerte!$A30</f>
        <v>10</v>
      </c>
      <c r="P26" s="14">
        <f>Laborwerte!$B30</f>
        <v>2550</v>
      </c>
      <c r="Q26" s="14"/>
      <c r="R26" s="19">
        <f>1-0.55*('Laborwerte (Einheiten)'!D30/'Laborwerte (Einheiten)'!$B$33)</f>
        <v>1.0051724211891893</v>
      </c>
      <c r="S26" s="19">
        <f>(SQRT(2*('Laborwerte (Einheiten)'!D30*-1)/Auswertung!K26))*(PI()*SUMSQ(Konstanten!$C$5)/4)*R26*Konstanten!$C$4</f>
        <v>1.259702353534999</v>
      </c>
      <c r="T26" s="19">
        <f t="shared" si="31"/>
        <v>1.4578404598620969</v>
      </c>
      <c r="U26" s="19">
        <f t="shared" si="32"/>
        <v>1.261174313715146</v>
      </c>
      <c r="V26" s="19">
        <f t="shared" si="33"/>
        <v>1.2516090204432502</v>
      </c>
      <c r="W26" s="19">
        <f>U26/Konstanten!$C$8</f>
        <v>40.14442522565884</v>
      </c>
      <c r="X26" s="19">
        <f>V26/Konstanten!$C$9</f>
        <v>41.389187183969916</v>
      </c>
      <c r="Y26" s="19">
        <f>'Laborwerte (Einheiten)'!H30*Konstanten!$C$10</f>
        <v>26.477955</v>
      </c>
      <c r="Z26" s="17">
        <f t="shared" si="34"/>
        <v>7070.550657356896</v>
      </c>
      <c r="AA26" s="15">
        <f>(17.1+0.048*'Laborwerte (Einheiten)'!$E$33)*POWER(10,-6)</f>
        <v>1.8204E-05</v>
      </c>
      <c r="AB26" s="15">
        <f>(17.1+0.048*'Laborwerte (Einheiten)'!G30)*POWER(10,-6)</f>
        <v>1.8444E-05</v>
      </c>
      <c r="AC26" s="14">
        <f>Laborwerte!$A30</f>
        <v>10</v>
      </c>
      <c r="AD26" s="14">
        <f>Laborwerte!$B30</f>
        <v>2550</v>
      </c>
      <c r="AE26" s="14"/>
      <c r="AF26" s="22">
        <f t="shared" si="35"/>
        <v>1.5748237093819064E-05</v>
      </c>
      <c r="AG26" s="22">
        <f t="shared" si="36"/>
        <v>1.58348443527483E-05</v>
      </c>
      <c r="AH26" s="22">
        <f>W26*Konstanten!$C$5/AF26</f>
        <v>509827.5443340246</v>
      </c>
      <c r="AI26" s="22">
        <f>X26*Konstanten!$C$11/AG26</f>
        <v>431920.4787856127</v>
      </c>
      <c r="AJ26" s="19">
        <f t="shared" si="37"/>
        <v>0.03023916079768307</v>
      </c>
      <c r="AK26" s="19">
        <f t="shared" si="38"/>
        <v>0.19626045884035107</v>
      </c>
      <c r="AL26" s="19">
        <f t="shared" si="39"/>
        <v>0.018511251797293925</v>
      </c>
      <c r="AM26" s="19">
        <f t="shared" si="40"/>
        <v>0.24501087143532807</v>
      </c>
      <c r="AN26" s="19">
        <f t="shared" si="41"/>
        <v>0.040689130583024063</v>
      </c>
      <c r="AO26" s="17">
        <f t="shared" si="21"/>
        <v>228.21318387068192</v>
      </c>
      <c r="AP26" s="17">
        <f t="shared" si="22"/>
        <v>40.59415676846656</v>
      </c>
      <c r="AQ26" s="17">
        <f t="shared" si="23"/>
        <v>2764.689569525084</v>
      </c>
      <c r="AR26" s="14">
        <f>Laborwerte!$A30</f>
        <v>10</v>
      </c>
      <c r="AS26" s="14">
        <f>Laborwerte!$B30</f>
        <v>2550</v>
      </c>
      <c r="AT26" s="14"/>
      <c r="AU26" s="17">
        <f t="shared" si="24"/>
        <v>2382.62189811202</v>
      </c>
      <c r="AV26" s="17">
        <f t="shared" si="25"/>
        <v>3473.48260362113</v>
      </c>
      <c r="AW26" s="20">
        <f t="shared" si="26"/>
        <v>0.49126054984232054</v>
      </c>
    </row>
    <row r="27" spans="1:49" ht="12">
      <c r="A27" s="14">
        <f>Laborwerte!$A31</f>
        <v>11</v>
      </c>
      <c r="B27" s="14">
        <f>Laborwerte!$B31</f>
        <v>2550</v>
      </c>
      <c r="C27" s="14" t="str">
        <f>Laborwerte!$C31</f>
        <v>auf</v>
      </c>
      <c r="D27" s="17">
        <f>'Laborwerte (Einheiten)'!$B$15+'Laborwerte (Einheiten)'!D31</f>
        <v>98730.518508</v>
      </c>
      <c r="E27" s="17">
        <f>'Laborwerte (Einheiten)'!$B$15+'Laborwerte (Einheiten)'!E31</f>
        <v>98586</v>
      </c>
      <c r="F27" s="17">
        <f>'Laborwerte (Einheiten)'!$B$15+'Laborwerte (Einheiten)'!F31</f>
        <v>99880</v>
      </c>
      <c r="G27" s="15">
        <f>'Laborwerte (Einheiten)'!$E$33+273.15</f>
        <v>296.15</v>
      </c>
      <c r="H27" s="15">
        <f>'Laborwerte (Einheiten)'!$E$33+273.15</f>
        <v>296.15</v>
      </c>
      <c r="I27" s="15">
        <f>'Laborwerte (Einheiten)'!G31+273.15</f>
        <v>301.15</v>
      </c>
      <c r="J27" s="20">
        <f>Konstanten!$C$3/(1-0.377*('Laborwerte (Einheiten)'!$H$33/100)*('Laborwerte (Einheiten)'!$B$34/'Laborwerte (Einheiten)'!$B$33))</f>
        <v>288.7407541918225</v>
      </c>
      <c r="K27" s="19">
        <f t="shared" si="27"/>
        <v>1.1546001094481897</v>
      </c>
      <c r="L27" s="19">
        <f t="shared" si="28"/>
        <v>1.15291004352252</v>
      </c>
      <c r="M27" s="19">
        <f t="shared" si="29"/>
        <v>1.148649636957151</v>
      </c>
      <c r="N27" s="19">
        <f t="shared" si="30"/>
        <v>1.1507798402398355</v>
      </c>
      <c r="O27" s="14">
        <f>Laborwerte!$A31</f>
        <v>11</v>
      </c>
      <c r="P27" s="14">
        <f>Laborwerte!$B31</f>
        <v>2550</v>
      </c>
      <c r="Q27" s="14" t="str">
        <f>Laborwerte!$C31</f>
        <v>auf</v>
      </c>
      <c r="R27" s="19">
        <f>1-0.55*('Laborwerte (Einheiten)'!D31/'Laborwerte (Einheiten)'!$B$33)</f>
        <v>1.0064385867927927</v>
      </c>
      <c r="S27" s="19">
        <f>(SQRT(2*('Laborwerte (Einheiten)'!D31*-1)/Auswertung!K27))*(PI()*SUMSQ(Konstanten!$C$5)/4)*R27*Konstanten!$C$4</f>
        <v>1.4088612484493723</v>
      </c>
      <c r="T27" s="19">
        <f t="shared" si="31"/>
        <v>1.6266713516569584</v>
      </c>
      <c r="U27" s="19">
        <f t="shared" si="32"/>
        <v>1.4109265165970293</v>
      </c>
      <c r="V27" s="19">
        <f t="shared" si="33"/>
        <v>1.4161597229648883</v>
      </c>
      <c r="W27" s="19">
        <f>U27/Konstanten!$C$8</f>
        <v>44.91118589116926</v>
      </c>
      <c r="X27" s="19">
        <f>V27/Konstanten!$C$9</f>
        <v>46.83067866947382</v>
      </c>
      <c r="Y27" s="19">
        <f>'Laborwerte (Einheiten)'!H31*Konstanten!$C$10</f>
        <v>28.5373515</v>
      </c>
      <c r="Z27" s="17">
        <f t="shared" si="34"/>
        <v>7620.482375151321</v>
      </c>
      <c r="AA27" s="15">
        <f>(17.1+0.048*'Laborwerte (Einheiten)'!$E$33)*POWER(10,-6)</f>
        <v>1.8204E-05</v>
      </c>
      <c r="AB27" s="15">
        <f>(17.1+0.048*'Laborwerte (Einheiten)'!G31)*POWER(10,-6)</f>
        <v>1.8444E-05</v>
      </c>
      <c r="AC27" s="14">
        <f>Laborwerte!$A31</f>
        <v>11</v>
      </c>
      <c r="AD27" s="14">
        <f>Laborwerte!$B31</f>
        <v>2550</v>
      </c>
      <c r="AE27" s="14" t="str">
        <f>Laborwerte!$C31</f>
        <v>auf</v>
      </c>
      <c r="AF27" s="22">
        <f t="shared" si="35"/>
        <v>1.578961004137043E-05</v>
      </c>
      <c r="AG27" s="22">
        <f t="shared" si="36"/>
        <v>1.605711559606581E-05</v>
      </c>
      <c r="AH27" s="22">
        <f>W27*Konstanten!$C$5/AF27</f>
        <v>568870.1085523614</v>
      </c>
      <c r="AI27" s="22">
        <f>X27*Konstanten!$C$11/AG27</f>
        <v>481940.7118807599</v>
      </c>
      <c r="AJ27" s="19">
        <f t="shared" si="37"/>
        <v>0.029633147412702183</v>
      </c>
      <c r="AK27" s="19">
        <f t="shared" si="38"/>
        <v>0.1936966151923343</v>
      </c>
      <c r="AL27" s="19">
        <f t="shared" si="39"/>
        <v>0.011579963554446562</v>
      </c>
      <c r="AM27" s="19">
        <f t="shared" si="40"/>
        <v>0.23490972615948305</v>
      </c>
      <c r="AN27" s="19">
        <f t="shared" si="41"/>
        <v>0.03985835928275541</v>
      </c>
      <c r="AO27" s="17">
        <f t="shared" si="21"/>
        <v>273.1338152779317</v>
      </c>
      <c r="AP27" s="17">
        <f t="shared" si="22"/>
        <v>50.20395189779949</v>
      </c>
      <c r="AQ27" s="17">
        <f t="shared" si="23"/>
        <v>1718.6626930022535</v>
      </c>
      <c r="AR27" s="14">
        <f>Laborwerte!$A31</f>
        <v>11</v>
      </c>
      <c r="AS27" s="14">
        <f>Laborwerte!$B31</f>
        <v>2550</v>
      </c>
      <c r="AT27" s="14" t="str">
        <f>Laborwerte!$C31</f>
        <v>auf</v>
      </c>
      <c r="AU27" s="17">
        <f t="shared" si="24"/>
        <v>1493.476539043354</v>
      </c>
      <c r="AV27" s="17">
        <f t="shared" si="25"/>
        <v>2429.3955004336094</v>
      </c>
      <c r="AW27" s="20">
        <f t="shared" si="26"/>
        <v>0.3187981260025378</v>
      </c>
    </row>
    <row r="28" ht="9.75" customHeight="1"/>
    <row r="29" spans="1:49" ht="12">
      <c r="A29" s="12" t="s">
        <v>0</v>
      </c>
      <c r="B29" s="12" t="s">
        <v>1</v>
      </c>
      <c r="C29" s="12" t="s">
        <v>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2" t="s">
        <v>0</v>
      </c>
      <c r="P29" s="12" t="s">
        <v>1</v>
      </c>
      <c r="Q29" s="12" t="s">
        <v>2</v>
      </c>
      <c r="R29" s="15"/>
      <c r="S29" s="15"/>
      <c r="T29" s="15"/>
      <c r="U29" s="15"/>
      <c r="V29" s="15"/>
      <c r="W29" s="15"/>
      <c r="X29" s="15"/>
      <c r="Y29" s="12" t="s">
        <v>36</v>
      </c>
      <c r="Z29" s="15"/>
      <c r="AA29" s="15"/>
      <c r="AB29" s="15"/>
      <c r="AC29" s="12" t="s">
        <v>0</v>
      </c>
      <c r="AD29" s="12" t="s">
        <v>1</v>
      </c>
      <c r="AE29" s="12" t="s">
        <v>2</v>
      </c>
      <c r="AF29" s="15"/>
      <c r="AG29" s="15"/>
      <c r="AH29" s="15"/>
      <c r="AI29" s="15"/>
      <c r="AJ29" s="15"/>
      <c r="AK29" s="15"/>
      <c r="AL29" s="19"/>
      <c r="AM29" s="15"/>
      <c r="AN29" s="15"/>
      <c r="AO29" s="15"/>
      <c r="AP29" s="15"/>
      <c r="AQ29" s="15"/>
      <c r="AR29" s="12" t="s">
        <v>0</v>
      </c>
      <c r="AS29" s="12" t="s">
        <v>1</v>
      </c>
      <c r="AT29" s="12" t="s">
        <v>2</v>
      </c>
      <c r="AU29" s="15"/>
      <c r="AV29" s="15"/>
      <c r="AW29" s="15"/>
    </row>
    <row r="30" spans="1:49" ht="12">
      <c r="A30" s="12" t="s">
        <v>5</v>
      </c>
      <c r="B30" s="12"/>
      <c r="C30" s="12" t="s">
        <v>3</v>
      </c>
      <c r="D30" s="12" t="s">
        <v>16</v>
      </c>
      <c r="E30" s="12" t="s">
        <v>16</v>
      </c>
      <c r="F30" s="12" t="s">
        <v>16</v>
      </c>
      <c r="G30" s="12" t="s">
        <v>18</v>
      </c>
      <c r="H30" s="12" t="s">
        <v>18</v>
      </c>
      <c r="I30" s="12" t="s">
        <v>18</v>
      </c>
      <c r="J30" s="12" t="s">
        <v>19</v>
      </c>
      <c r="K30" s="12" t="s">
        <v>21</v>
      </c>
      <c r="L30" s="12" t="s">
        <v>21</v>
      </c>
      <c r="M30" s="12" t="s">
        <v>21</v>
      </c>
      <c r="N30" s="12" t="s">
        <v>21</v>
      </c>
      <c r="O30" s="12" t="s">
        <v>5</v>
      </c>
      <c r="P30" s="12"/>
      <c r="Q30" s="12" t="s">
        <v>3</v>
      </c>
      <c r="R30" s="12"/>
      <c r="S30" s="12" t="s">
        <v>30</v>
      </c>
      <c r="T30" s="12" t="s">
        <v>31</v>
      </c>
      <c r="U30" s="12" t="s">
        <v>30</v>
      </c>
      <c r="V30" s="12" t="s">
        <v>30</v>
      </c>
      <c r="W30" s="12" t="s">
        <v>31</v>
      </c>
      <c r="X30" s="12" t="s">
        <v>31</v>
      </c>
      <c r="Y30" s="12" t="s">
        <v>37</v>
      </c>
      <c r="Z30" s="12" t="s">
        <v>40</v>
      </c>
      <c r="AA30" s="12"/>
      <c r="AB30" s="12"/>
      <c r="AC30" s="12" t="s">
        <v>5</v>
      </c>
      <c r="AD30" s="12"/>
      <c r="AE30" s="12" t="s">
        <v>3</v>
      </c>
      <c r="AF30" s="12"/>
      <c r="AG30" s="12"/>
      <c r="AH30" s="12"/>
      <c r="AI30" s="12"/>
      <c r="AJ30" s="12"/>
      <c r="AK30" s="12"/>
      <c r="AL30" s="24"/>
      <c r="AM30" s="12"/>
      <c r="AN30" s="12"/>
      <c r="AO30" s="12" t="s">
        <v>16</v>
      </c>
      <c r="AP30" s="12" t="s">
        <v>16</v>
      </c>
      <c r="AQ30" s="12" t="s">
        <v>16</v>
      </c>
      <c r="AR30" s="12" t="s">
        <v>5</v>
      </c>
      <c r="AS30" s="12"/>
      <c r="AT30" s="12" t="s">
        <v>3</v>
      </c>
      <c r="AU30" s="12" t="s">
        <v>42</v>
      </c>
      <c r="AV30" s="12" t="s">
        <v>40</v>
      </c>
      <c r="AW30" s="12"/>
    </row>
    <row r="31" spans="1:49" ht="12">
      <c r="A31" s="14">
        <f>Laborwerte!$A39</f>
        <v>1</v>
      </c>
      <c r="B31" s="14">
        <f>Laborwerte!$B39</f>
        <v>2400</v>
      </c>
      <c r="C31" s="14" t="str">
        <f>Laborwerte!$C39</f>
        <v>zu</v>
      </c>
      <c r="D31" s="17">
        <f>'Laborwerte (Einheiten)'!$B$15+'Laborwerte (Einheiten)'!D39</f>
        <v>99900</v>
      </c>
      <c r="E31" s="17">
        <f>'Laborwerte (Einheiten)'!$B$15+'Laborwerte (Einheiten)'!E39</f>
        <v>99900.001</v>
      </c>
      <c r="F31" s="17">
        <f>'Laborwerte (Einheiten)'!$B$15+'Laborwerte (Einheiten)'!F39</f>
        <v>104190</v>
      </c>
      <c r="G31" s="15">
        <f>'Laborwerte (Einheiten)'!$E$51+273.15</f>
        <v>296.15</v>
      </c>
      <c r="H31" s="15">
        <f>'Laborwerte (Einheiten)'!$E$51+273.15</f>
        <v>296.15</v>
      </c>
      <c r="I31" s="15">
        <f>'Laborwerte (Einheiten)'!G39+273.15</f>
        <v>304.65</v>
      </c>
      <c r="J31" s="20">
        <f>Konstanten!$C$3/(1-0.377*('Laborwerte (Einheiten)'!$H$51/100)*('Laborwerte (Einheiten)'!$B$52/'Laborwerte (Einheiten)'!$B$51))</f>
        <v>288.7407541918225</v>
      </c>
      <c r="K31" s="19">
        <f>D31/(J31*G31)</f>
        <v>1.168276564095305</v>
      </c>
      <c r="L31" s="19">
        <f>E31/(J31*H31)</f>
        <v>1.168276575789765</v>
      </c>
      <c r="M31" s="19">
        <f>F31/(J31*I31)</f>
        <v>1.1844501003007457</v>
      </c>
      <c r="N31" s="19">
        <f>(L31+M31)/2</f>
        <v>1.1763633380452554</v>
      </c>
      <c r="O31" s="14">
        <f>Laborwerte!$A39</f>
        <v>1</v>
      </c>
      <c r="P31" s="14">
        <f>Laborwerte!$B39</f>
        <v>2400</v>
      </c>
      <c r="Q31" s="14" t="str">
        <f>Laborwerte!$C39</f>
        <v>zu</v>
      </c>
      <c r="R31" s="19">
        <f>1-0.55*('Laborwerte (Einheiten)'!D39/'Laborwerte (Einheiten)'!$B$51)</f>
        <v>1</v>
      </c>
      <c r="S31" s="19">
        <f>(SQRT(2*'Laborwerte (Einheiten)'!D39/Auswertung!K31))*(PI()*SUMSQ(Konstanten!$C$5)/4)*R31*Konstanten!$C$4</f>
        <v>1.2730338645856518E-08</v>
      </c>
      <c r="T31" s="19">
        <f>S31*K31</f>
        <v>1.4872556292950932E-08</v>
      </c>
      <c r="U31" s="19">
        <f>(K31/L31)*S31</f>
        <v>1.2730338518425702E-08</v>
      </c>
      <c r="V31" s="19">
        <f>(K31/M31)*S31</f>
        <v>1.2556507267950432E-08</v>
      </c>
      <c r="W31" s="19">
        <f>U31/Konstanten!$C$8</f>
        <v>4.0521926048812115E-07</v>
      </c>
      <c r="X31" s="19">
        <f>V31/Konstanten!$C$9</f>
        <v>4.152284149454508E-07</v>
      </c>
      <c r="Y31" s="19">
        <f>'Laborwerte (Einheiten)'!H39*Konstanten!$C$10</f>
        <v>3.18716125</v>
      </c>
      <c r="Z31" s="17">
        <f>2*PI()*Y31*(P31/60)</f>
        <v>801.020989504485</v>
      </c>
      <c r="AA31" s="15">
        <f>(17.1+0.048*'Laborwerte (Einheiten)'!$E$51)*POWER(10,-6)</f>
        <v>1.8204E-05</v>
      </c>
      <c r="AB31" s="15">
        <f>(17.1+0.048*'Laborwerte (Einheiten)'!G39)*POWER(10,-6)</f>
        <v>1.8612E-05</v>
      </c>
      <c r="AC31" s="14">
        <f>Laborwerte!$A39</f>
        <v>1</v>
      </c>
      <c r="AD31" s="14">
        <f>Laborwerte!$B39</f>
        <v>2400</v>
      </c>
      <c r="AE31" s="14" t="str">
        <f>Laborwerte!$C39</f>
        <v>zu</v>
      </c>
      <c r="AF31" s="22">
        <f>AA31/L31</f>
        <v>1.558192672629248E-05</v>
      </c>
      <c r="AG31" s="22">
        <f>AB31/M31</f>
        <v>1.5713621025718345E-05</v>
      </c>
      <c r="AH31" s="22">
        <f>W31*Konstanten!$C$5/AF31</f>
        <v>0.0052011444746992205</v>
      </c>
      <c r="AI31" s="22">
        <f>X31*Konstanten!$C$11/AG31</f>
        <v>0.004366580669193661</v>
      </c>
      <c r="AJ31" s="19">
        <f>2.3*(0.005+0.42*POWER(AH31,-0.3))</f>
        <v>4.690439731327063</v>
      </c>
      <c r="AK31" s="19">
        <f>0.95*POWER(AH31,-0.12)</f>
        <v>1.78563107464999</v>
      </c>
      <c r="AL31" s="19">
        <f>1.0632*POWER(0.4518,AH31/100000)</f>
        <v>1.0631999560644216</v>
      </c>
      <c r="AM31" s="19">
        <f>AJ31+AK31+AL31</f>
        <v>7.5392707620414745</v>
      </c>
      <c r="AN31" s="19">
        <f>3*(0.005+0.42*POWER(AI31,-0.3))</f>
        <v>6.446734354888578</v>
      </c>
      <c r="AO31" s="17">
        <f aca="true" t="shared" si="42" ref="AO31:AO41">AM31*(L31/2)*W31*W31</f>
        <v>7.231446430339923E-13</v>
      </c>
      <c r="AP31" s="17">
        <f aca="true" t="shared" si="43" ref="AP31:AP41">AN31*(M31/2)*X31*X31</f>
        <v>6.582648714598488E-13</v>
      </c>
      <c r="AQ31" s="17">
        <f aca="true" t="shared" si="44" ref="AQ31:AQ41">F31-E31+(X31*X31-W31*W31)*(N31/2)+AO31+AP31</f>
        <v>4289.998999999998</v>
      </c>
      <c r="AR31" s="14">
        <f>Laborwerte!$A39</f>
        <v>1</v>
      </c>
      <c r="AS31" s="14">
        <f>Laborwerte!$B39</f>
        <v>2400</v>
      </c>
      <c r="AT31" s="14" t="str">
        <f>Laborwerte!$C39</f>
        <v>zu</v>
      </c>
      <c r="AU31" s="17">
        <f aca="true" t="shared" si="45" ref="AU31:AU41">AQ31/N31</f>
        <v>3646.8316048752613</v>
      </c>
      <c r="AV31" s="17">
        <f aca="true" t="shared" si="46" ref="AV31:AV41">(L31/N31)*U31*AQ31</f>
        <v>5.423770833441991E-05</v>
      </c>
      <c r="AW31" s="20">
        <f aca="true" t="shared" si="47" ref="AW31:AW41">AV31/Z31</f>
        <v>6.771072049931125E-08</v>
      </c>
    </row>
    <row r="32" spans="1:49" ht="12">
      <c r="A32" s="14">
        <f>Laborwerte!$A40</f>
        <v>2</v>
      </c>
      <c r="B32" s="14">
        <f>Laborwerte!$B40</f>
        <v>2400</v>
      </c>
      <c r="C32" s="14"/>
      <c r="D32" s="17">
        <f>'Laborwerte (Einheiten)'!$B$15+'Laborwerte (Einheiten)'!D40</f>
        <v>99897.0640632</v>
      </c>
      <c r="E32" s="17">
        <f>'Laborwerte (Einheiten)'!$B$15+'Laborwerte (Einheiten)'!E40</f>
        <v>99897</v>
      </c>
      <c r="F32" s="17">
        <f>'Laborwerte (Einheiten)'!$B$15+'Laborwerte (Einheiten)'!F40</f>
        <v>104260</v>
      </c>
      <c r="G32" s="15">
        <f>'Laborwerte (Einheiten)'!$E$51+273.15</f>
        <v>296.15</v>
      </c>
      <c r="H32" s="15">
        <f>'Laborwerte (Einheiten)'!$E$51+273.15</f>
        <v>296.15</v>
      </c>
      <c r="I32" s="15">
        <f>'Laborwerte (Einheiten)'!G40+273.15</f>
        <v>304.65</v>
      </c>
      <c r="J32" s="20">
        <f>Konstanten!$C$3/(1-0.377*('Laborwerte (Einheiten)'!$H$51/100)*('Laborwerte (Einheiten)'!$B$52/'Laborwerte (Einheiten)'!$B$51))</f>
        <v>288.7407541918225</v>
      </c>
      <c r="K32" s="19">
        <f aca="true" t="shared" si="48" ref="K32:K41">D32/(J32*G32)</f>
        <v>1.1682422298995383</v>
      </c>
      <c r="L32" s="19">
        <f aca="true" t="shared" si="49" ref="L32:L41">E32/(J32*H32)</f>
        <v>1.168241480715002</v>
      </c>
      <c r="M32" s="19">
        <f aca="true" t="shared" si="50" ref="M32:M41">F32/(J32*I32)</f>
        <v>1.1852458725151718</v>
      </c>
      <c r="N32" s="19">
        <f aca="true" t="shared" si="51" ref="N32:N41">(L32+M32)/2</f>
        <v>1.1767436766150867</v>
      </c>
      <c r="O32" s="14">
        <f>Laborwerte!$A40</f>
        <v>2</v>
      </c>
      <c r="P32" s="14">
        <f>Laborwerte!$B40</f>
        <v>2400</v>
      </c>
      <c r="Q32" s="14"/>
      <c r="R32" s="19">
        <f>1-0.55*('Laborwerte (Einheiten)'!D40/'Laborwerte (Einheiten)'!$B$51)</f>
        <v>1.0000161638162162</v>
      </c>
      <c r="S32" s="19">
        <f>(SQRT(2*('Laborwerte (Einheiten)'!D40*-1)/Auswertung!K32))*(PI()*SUMSQ(Konstanten!$C$5)/4)*R32*Konstanten!$C$4</f>
        <v>0.06972908809667198</v>
      </c>
      <c r="T32" s="19">
        <f aca="true" t="shared" si="52" ref="T32:T41">S32*K32</f>
        <v>0.08146046536691744</v>
      </c>
      <c r="U32" s="19">
        <f aca="true" t="shared" si="53" ref="U32:U41">(K32/L32)*S32</f>
        <v>0.06972913281341539</v>
      </c>
      <c r="V32" s="19">
        <f aca="true" t="shared" si="54" ref="V32:V41">(K32/M32)*S32</f>
        <v>0.06872874840226427</v>
      </c>
      <c r="W32" s="19">
        <f>U32/Konstanten!$C$8</f>
        <v>2.2195472329532677</v>
      </c>
      <c r="X32" s="19">
        <f>V32/Konstanten!$C$9</f>
        <v>2.272776071503448</v>
      </c>
      <c r="Y32" s="19">
        <f>'Laborwerte (Einheiten)'!H40*Konstanten!$C$10</f>
        <v>4.4129925</v>
      </c>
      <c r="Z32" s="17">
        <f aca="true" t="shared" si="55" ref="Z32:Z41">2*PI()*Y32*(P32/60)</f>
        <v>1109.1059854677483</v>
      </c>
      <c r="AA32" s="15">
        <f>(17.1+0.048*'Laborwerte (Einheiten)'!$E$51)*POWER(10,-6)</f>
        <v>1.8204E-05</v>
      </c>
      <c r="AB32" s="15">
        <f>(17.1+0.048*'Laborwerte (Einheiten)'!G40)*POWER(10,-6)</f>
        <v>1.8612E-05</v>
      </c>
      <c r="AC32" s="14">
        <f>Laborwerte!$A40</f>
        <v>2</v>
      </c>
      <c r="AD32" s="14">
        <f>Laborwerte!$B40</f>
        <v>2400</v>
      </c>
      <c r="AE32" s="14"/>
      <c r="AF32" s="22">
        <f aca="true" t="shared" si="56" ref="AF32:AF41">AA32/L32</f>
        <v>1.5582394822052166E-05</v>
      </c>
      <c r="AG32" s="22">
        <f aca="true" t="shared" si="57" ref="AG32:AG41">AB32/M32</f>
        <v>1.5703070925279056E-05</v>
      </c>
      <c r="AH32" s="22">
        <f>W32*Konstanten!$C$5/AF32</f>
        <v>28487.88338763141</v>
      </c>
      <c r="AI32" s="22">
        <f>X32*Konstanten!$C$11/AG32</f>
        <v>23916.782452744344</v>
      </c>
      <c r="AJ32" s="19">
        <f aca="true" t="shared" si="58" ref="AJ32:AJ41">2.3*(0.005+0.42*POWER(AH32,-0.3))</f>
        <v>0.05602245170982743</v>
      </c>
      <c r="AK32" s="19">
        <f aca="true" t="shared" si="59" ref="AK32:AK41">0.95*POWER(AH32,-0.12)</f>
        <v>0.2774370023365808</v>
      </c>
      <c r="AL32" s="19">
        <f aca="true" t="shared" si="60" ref="AL32:AL41">1.0632*POWER(0.4518,AH32/100000)</f>
        <v>0.8478449765631453</v>
      </c>
      <c r="AM32" s="19">
        <f aca="true" t="shared" si="61" ref="AM32:AM41">AJ32+AK32+AL32</f>
        <v>1.1813044306095535</v>
      </c>
      <c r="AN32" s="19">
        <f aca="true" t="shared" si="62" ref="AN32:AN41">3*(0.005+0.42*POWER(AI32,-0.3))</f>
        <v>0.07620116921120228</v>
      </c>
      <c r="AO32" s="17">
        <f t="shared" si="42"/>
        <v>3.3993293398457256</v>
      </c>
      <c r="AP32" s="17">
        <f t="shared" si="43"/>
        <v>0.2332670449670304</v>
      </c>
      <c r="AQ32" s="17">
        <f t="shared" si="44"/>
        <v>4366.773288536527</v>
      </c>
      <c r="AR32" s="14">
        <f>Laborwerte!$A40</f>
        <v>2</v>
      </c>
      <c r="AS32" s="14">
        <f>Laborwerte!$B40</f>
        <v>2400</v>
      </c>
      <c r="AT32" s="14"/>
      <c r="AU32" s="17">
        <f t="shared" si="45"/>
        <v>3710.895903088757</v>
      </c>
      <c r="AV32" s="17">
        <f t="shared" si="46"/>
        <v>302.2913071937975</v>
      </c>
      <c r="AW32" s="20">
        <f t="shared" si="47"/>
        <v>0.2725540310435804</v>
      </c>
    </row>
    <row r="33" spans="1:49" ht="12">
      <c r="A33" s="14">
        <f>Laborwerte!$A41</f>
        <v>3</v>
      </c>
      <c r="B33" s="14">
        <f>Laborwerte!$B41</f>
        <v>2400</v>
      </c>
      <c r="C33" s="14"/>
      <c r="D33" s="17">
        <f>'Laborwerte (Einheiten)'!$B$15+'Laborwerte (Einheiten)'!D41</f>
        <v>99890.213544</v>
      </c>
      <c r="E33" s="17">
        <f>'Laborwerte (Einheiten)'!$B$15+'Laborwerte (Einheiten)'!E41</f>
        <v>99889</v>
      </c>
      <c r="F33" s="17">
        <f>'Laborwerte (Einheiten)'!$B$15+'Laborwerte (Einheiten)'!F41</f>
        <v>104324</v>
      </c>
      <c r="G33" s="15">
        <f>'Laborwerte (Einheiten)'!$E$51+273.15</f>
        <v>296.15</v>
      </c>
      <c r="H33" s="15">
        <f>'Laborwerte (Einheiten)'!$E$51+273.15</f>
        <v>296.15</v>
      </c>
      <c r="I33" s="15">
        <f>'Laborwerte (Einheiten)'!G41+273.15</f>
        <v>304.65</v>
      </c>
      <c r="J33" s="20">
        <f>Konstanten!$C$3/(1-0.377*('Laborwerte (Einheiten)'!$H$51/100)*('Laborwerte (Einheiten)'!$B$52/'Laborwerte (Einheiten)'!$B$51))</f>
        <v>288.7407541918225</v>
      </c>
      <c r="K33" s="19">
        <f t="shared" si="48"/>
        <v>1.1681621167760823</v>
      </c>
      <c r="L33" s="19">
        <f t="shared" si="49"/>
        <v>1.1681479250341935</v>
      </c>
      <c r="M33" s="19">
        <f t="shared" si="50"/>
        <v>1.185973435682647</v>
      </c>
      <c r="N33" s="19">
        <f t="shared" si="51"/>
        <v>1.1770606803584203</v>
      </c>
      <c r="O33" s="14">
        <f>Laborwerte!$A41</f>
        <v>3</v>
      </c>
      <c r="P33" s="14">
        <f>Laborwerte!$B41</f>
        <v>2400</v>
      </c>
      <c r="Q33" s="14"/>
      <c r="R33" s="19">
        <f>1-0.55*('Laborwerte (Einheiten)'!D41/'Laborwerte (Einheiten)'!$B$51)</f>
        <v>1.0000538793873874</v>
      </c>
      <c r="S33" s="19">
        <f>(SQRT(2*('Laborwerte (Einheiten)'!D41*-1)/Auswertung!K33))*(PI()*SUMSQ(Konstanten!$C$5)/4)*R33*Konstanten!$C$4</f>
        <v>0.12731648176163</v>
      </c>
      <c r="T33" s="19">
        <f t="shared" si="52"/>
        <v>0.14872629083514916</v>
      </c>
      <c r="U33" s="19">
        <f t="shared" si="53"/>
        <v>0.12731802852005727</v>
      </c>
      <c r="V33" s="19">
        <f t="shared" si="54"/>
        <v>0.12540440313449536</v>
      </c>
      <c r="W33" s="19">
        <f>U33/Konstanten!$C$8</f>
        <v>4.0526587167364045</v>
      </c>
      <c r="X33" s="19">
        <f>V33/Konstanten!$C$9</f>
        <v>4.146971003124847</v>
      </c>
      <c r="Y33" s="19">
        <f>'Laborwerte (Einheiten)'!H41*Konstanten!$C$10</f>
        <v>5.3936575</v>
      </c>
      <c r="Z33" s="17">
        <f t="shared" si="55"/>
        <v>1355.5739822383591</v>
      </c>
      <c r="AA33" s="15">
        <f>(17.1+0.048*'Laborwerte (Einheiten)'!$E$51)*POWER(10,-6)</f>
        <v>1.8204E-05</v>
      </c>
      <c r="AB33" s="15">
        <f>(17.1+0.048*'Laborwerte (Einheiten)'!G41)*POWER(10,-6)</f>
        <v>1.8612E-05</v>
      </c>
      <c r="AC33" s="14">
        <f>Laborwerte!$A41</f>
        <v>3</v>
      </c>
      <c r="AD33" s="14">
        <f>Laborwerte!$B41</f>
        <v>2400</v>
      </c>
      <c r="AE33" s="14"/>
      <c r="AF33" s="22">
        <f t="shared" si="56"/>
        <v>1.5583642798892222E-05</v>
      </c>
      <c r="AG33" s="22">
        <f t="shared" si="57"/>
        <v>1.569343750881479E-05</v>
      </c>
      <c r="AH33" s="22">
        <f>W33*Konstanten!$C$5/AF33</f>
        <v>52011.6993059478</v>
      </c>
      <c r="AI33" s="22">
        <f>X33*Konstanten!$C$11/AG33</f>
        <v>43666.02040494152</v>
      </c>
      <c r="AJ33" s="19">
        <f t="shared" si="58"/>
        <v>0.048666084801307276</v>
      </c>
      <c r="AK33" s="19">
        <f t="shared" si="59"/>
        <v>0.25810206553113435</v>
      </c>
      <c r="AL33" s="19">
        <f t="shared" si="60"/>
        <v>0.7033097480111759</v>
      </c>
      <c r="AM33" s="19">
        <f t="shared" si="61"/>
        <v>1.0100778983436176</v>
      </c>
      <c r="AN33" s="19">
        <f t="shared" si="62"/>
        <v>0.06608900695018614</v>
      </c>
      <c r="AO33" s="17">
        <f t="shared" si="42"/>
        <v>9.689531509773369</v>
      </c>
      <c r="AP33" s="17">
        <f t="shared" si="43"/>
        <v>0.6739632088478122</v>
      </c>
      <c r="AQ33" s="17">
        <f t="shared" si="44"/>
        <v>4445.818620430313</v>
      </c>
      <c r="AR33" s="14">
        <f>Laborwerte!$A41</f>
        <v>3</v>
      </c>
      <c r="AS33" s="14">
        <f>Laborwerte!$B41</f>
        <v>2400</v>
      </c>
      <c r="AT33" s="14"/>
      <c r="AU33" s="17">
        <f t="shared" si="45"/>
        <v>3777.051340357866</v>
      </c>
      <c r="AV33" s="17">
        <f t="shared" si="46"/>
        <v>561.746836145354</v>
      </c>
      <c r="AW33" s="20">
        <f t="shared" si="47"/>
        <v>0.41439777061653466</v>
      </c>
    </row>
    <row r="34" spans="1:49" ht="12">
      <c r="A34" s="14">
        <f>Laborwerte!$A42</f>
        <v>4</v>
      </c>
      <c r="B34" s="14">
        <f>Laborwerte!$B42</f>
        <v>2400</v>
      </c>
      <c r="C34" s="14"/>
      <c r="D34" s="17">
        <f>'Laborwerte (Einheiten)'!$B$15+'Laborwerte (Einheiten)'!D42</f>
        <v>99875.53386</v>
      </c>
      <c r="E34" s="17">
        <f>'Laborwerte (Einheiten)'!$B$15+'Laborwerte (Einheiten)'!E42</f>
        <v>99872</v>
      </c>
      <c r="F34" s="17">
        <f>'Laborwerte (Einheiten)'!$B$15+'Laborwerte (Einheiten)'!F42</f>
        <v>104380</v>
      </c>
      <c r="G34" s="15">
        <f>'Laborwerte (Einheiten)'!$E$51+273.15</f>
        <v>296.15</v>
      </c>
      <c r="H34" s="15">
        <f>'Laborwerte (Einheiten)'!$E$51+273.15</f>
        <v>296.15</v>
      </c>
      <c r="I34" s="15">
        <f>'Laborwerte (Einheiten)'!G42+273.15</f>
        <v>304.15</v>
      </c>
      <c r="J34" s="20">
        <f>Konstanten!$C$3/(1-0.377*('Laborwerte (Einheiten)'!$H$51/100)*('Laborwerte (Einheiten)'!$B$52/'Laborwerte (Einheiten)'!$B$51))</f>
        <v>288.7407541918225</v>
      </c>
      <c r="K34" s="19">
        <f t="shared" si="48"/>
        <v>1.167990445797248</v>
      </c>
      <c r="L34" s="19">
        <f t="shared" si="49"/>
        <v>1.1679491192124756</v>
      </c>
      <c r="M34" s="19">
        <f t="shared" si="50"/>
        <v>1.1885607522104829</v>
      </c>
      <c r="N34" s="19">
        <f t="shared" si="51"/>
        <v>1.1782549357114793</v>
      </c>
      <c r="O34" s="14">
        <f>Laborwerte!$A42</f>
        <v>4</v>
      </c>
      <c r="P34" s="14">
        <f>Laborwerte!$B42</f>
        <v>2400</v>
      </c>
      <c r="Q34" s="14"/>
      <c r="R34" s="19">
        <f>1-0.55*('Laborwerte (Einheiten)'!D42/'Laborwerte (Einheiten)'!$B$51)</f>
        <v>1.0001346984684685</v>
      </c>
      <c r="S34" s="19">
        <f>(SQRT(2*('Laborwerte (Einheiten)'!D42*-1)/Auswertung!K34))*(PI()*SUMSQ(Konstanten!$C$5)/4)*R34*Konstanten!$C$4</f>
        <v>0.2013360959709711</v>
      </c>
      <c r="T34" s="19">
        <f t="shared" si="52"/>
        <v>0.23515863648821206</v>
      </c>
      <c r="U34" s="19">
        <f t="shared" si="53"/>
        <v>0.20134322002552196</v>
      </c>
      <c r="V34" s="19">
        <f t="shared" si="54"/>
        <v>0.19785159155799525</v>
      </c>
      <c r="W34" s="19">
        <f>U34/Konstanten!$C$8</f>
        <v>6.408953745020182</v>
      </c>
      <c r="X34" s="19">
        <f>V34/Konstanten!$C$9</f>
        <v>6.542711361044817</v>
      </c>
      <c r="Y34" s="19">
        <f>'Laborwerte (Einheiten)'!H42*Konstanten!$C$10</f>
        <v>6.815621749999999</v>
      </c>
      <c r="Z34" s="17">
        <f t="shared" si="55"/>
        <v>1712.9525775557445</v>
      </c>
      <c r="AA34" s="15">
        <f>(17.1+0.048*'Laborwerte (Einheiten)'!$E$51)*POWER(10,-6)</f>
        <v>1.8204E-05</v>
      </c>
      <c r="AB34" s="15">
        <f>(17.1+0.048*'Laborwerte (Einheiten)'!G42)*POWER(10,-6)</f>
        <v>1.8588E-05</v>
      </c>
      <c r="AC34" s="14">
        <f>Laborwerte!$A42</f>
        <v>4</v>
      </c>
      <c r="AD34" s="14">
        <f>Laborwerte!$B42</f>
        <v>2400</v>
      </c>
      <c r="AE34" s="14"/>
      <c r="AF34" s="22">
        <f t="shared" si="56"/>
        <v>1.558629541351475E-05</v>
      </c>
      <c r="AG34" s="22">
        <f t="shared" si="57"/>
        <v>1.5639082785991438E-05</v>
      </c>
      <c r="AH34" s="22">
        <f>W34*Konstanten!$C$5/AF34</f>
        <v>82238.31994693275</v>
      </c>
      <c r="AI34" s="22">
        <f>X34*Konstanten!$C$11/AG34</f>
        <v>69131.69095762237</v>
      </c>
      <c r="AJ34" s="19">
        <f t="shared" si="58"/>
        <v>0.043893274972164456</v>
      </c>
      <c r="AK34" s="19">
        <f t="shared" si="59"/>
        <v>0.24429506717169852</v>
      </c>
      <c r="AL34" s="19">
        <f t="shared" si="60"/>
        <v>0.5531571645147035</v>
      </c>
      <c r="AM34" s="19">
        <f t="shared" si="61"/>
        <v>0.8413455066585664</v>
      </c>
      <c r="AN34" s="19">
        <f t="shared" si="62"/>
        <v>0.059511004075096845</v>
      </c>
      <c r="AO34" s="17">
        <f t="shared" si="42"/>
        <v>20.1809953274943</v>
      </c>
      <c r="AP34" s="17">
        <f t="shared" si="43"/>
        <v>1.5139244049339524</v>
      </c>
      <c r="AQ34" s="17">
        <f t="shared" si="44"/>
        <v>4530.715514642236</v>
      </c>
      <c r="AR34" s="14">
        <f>Laborwerte!$A42</f>
        <v>4</v>
      </c>
      <c r="AS34" s="14">
        <f>Laborwerte!$B42</f>
        <v>2400</v>
      </c>
      <c r="AT34" s="14"/>
      <c r="AU34" s="17">
        <f t="shared" si="45"/>
        <v>3845.276075085059</v>
      </c>
      <c r="AV34" s="17">
        <f t="shared" si="46"/>
        <v>904.2498787377461</v>
      </c>
      <c r="AW34" s="20">
        <f t="shared" si="47"/>
        <v>0.5278896162017768</v>
      </c>
    </row>
    <row r="35" spans="1:49" ht="12">
      <c r="A35" s="14">
        <f>Laborwerte!$A43</f>
        <v>5</v>
      </c>
      <c r="B35" s="14">
        <f>Laborwerte!$B43</f>
        <v>2400</v>
      </c>
      <c r="C35" s="14"/>
      <c r="D35" s="17">
        <f>'Laborwerte (Einheiten)'!$B$15+'Laborwerte (Einheiten)'!D43</f>
        <v>99841.281264</v>
      </c>
      <c r="E35" s="17">
        <f>'Laborwerte (Einheiten)'!$B$15+'Laborwerte (Einheiten)'!E43</f>
        <v>99833</v>
      </c>
      <c r="F35" s="17">
        <f>'Laborwerte (Einheiten)'!$B$15+'Laborwerte (Einheiten)'!F43</f>
        <v>104390</v>
      </c>
      <c r="G35" s="15">
        <f>'Laborwerte (Einheiten)'!$E$51+273.15</f>
        <v>296.15</v>
      </c>
      <c r="H35" s="15">
        <f>'Laborwerte (Einheiten)'!$E$51+273.15</f>
        <v>296.15</v>
      </c>
      <c r="I35" s="15">
        <f>'Laborwerte (Einheiten)'!G43+273.15</f>
        <v>303.15</v>
      </c>
      <c r="J35" s="20">
        <f>Konstanten!$C$3/(1-0.377*('Laborwerte (Einheiten)'!$H$51/100)*('Laborwerte (Einheiten)'!$B$52/'Laborwerte (Einheiten)'!$B$51))</f>
        <v>288.7407541918225</v>
      </c>
      <c r="K35" s="19">
        <f t="shared" si="48"/>
        <v>1.1675898801799687</v>
      </c>
      <c r="L35" s="19">
        <f t="shared" si="49"/>
        <v>1.1674930352685344</v>
      </c>
      <c r="M35" s="19">
        <f t="shared" si="50"/>
        <v>1.1925956982629313</v>
      </c>
      <c r="N35" s="19">
        <f t="shared" si="51"/>
        <v>1.180044366765733</v>
      </c>
      <c r="O35" s="14">
        <f>Laborwerte!$A43</f>
        <v>5</v>
      </c>
      <c r="P35" s="14">
        <f>Laborwerte!$B43</f>
        <v>2400</v>
      </c>
      <c r="Q35" s="14"/>
      <c r="R35" s="19">
        <f>1-0.55*('Laborwerte (Einheiten)'!D43/'Laborwerte (Einheiten)'!$B$51)</f>
        <v>1.0003232763243244</v>
      </c>
      <c r="S35" s="19">
        <f>(SQRT(2*('Laborwerte (Einheiten)'!D43*-1)/Auswertung!K35))*(PI()*SUMSQ(Konstanten!$C$5)/4)*R35*Konstanten!$C$4</f>
        <v>0.3120208586009158</v>
      </c>
      <c r="T35" s="19">
        <f t="shared" si="52"/>
        <v>0.3643123969074942</v>
      </c>
      <c r="U35" s="19">
        <f t="shared" si="53"/>
        <v>0.3120467410957179</v>
      </c>
      <c r="V35" s="19">
        <f t="shared" si="54"/>
        <v>0.305478543514899</v>
      </c>
      <c r="W35" s="19">
        <f>U35/Konstanten!$C$8</f>
        <v>9.932756264220075</v>
      </c>
      <c r="X35" s="19">
        <f>V35/Konstanten!$C$9</f>
        <v>10.101803687662004</v>
      </c>
      <c r="Y35" s="19">
        <f>'Laborwerte (Einheiten)'!H43*Konstanten!$C$10</f>
        <v>8.825985</v>
      </c>
      <c r="Z35" s="17">
        <f t="shared" si="55"/>
        <v>2218.2119709354965</v>
      </c>
      <c r="AA35" s="15">
        <f>(17.1+0.048*'Laborwerte (Einheiten)'!$E$51)*POWER(10,-6)</f>
        <v>1.8204E-05</v>
      </c>
      <c r="AB35" s="15">
        <f>(17.1+0.048*'Laborwerte (Einheiten)'!G43)*POWER(10,-6)</f>
        <v>1.8540000000000002E-05</v>
      </c>
      <c r="AC35" s="14">
        <f>Laborwerte!$A43</f>
        <v>5</v>
      </c>
      <c r="AD35" s="14">
        <f>Laborwerte!$B43</f>
        <v>2400</v>
      </c>
      <c r="AE35" s="14"/>
      <c r="AF35" s="22">
        <f t="shared" si="56"/>
        <v>1.5592384237061343E-05</v>
      </c>
      <c r="AG35" s="22">
        <f t="shared" si="57"/>
        <v>1.5545922249262125E-05</v>
      </c>
      <c r="AH35" s="22">
        <f>W35*Konstanten!$C$5/AF35</f>
        <v>127405.22697755268</v>
      </c>
      <c r="AI35" s="22">
        <f>X35*Konstanten!$C$11/AG35</f>
        <v>107377.46090493872</v>
      </c>
      <c r="AJ35" s="19">
        <f t="shared" si="58"/>
        <v>0.039906710981127136</v>
      </c>
      <c r="AK35" s="19">
        <f t="shared" si="59"/>
        <v>0.23179343731700464</v>
      </c>
      <c r="AL35" s="19">
        <f t="shared" si="60"/>
        <v>0.38636557561990065</v>
      </c>
      <c r="AM35" s="19">
        <f t="shared" si="61"/>
        <v>0.6580657239180324</v>
      </c>
      <c r="AN35" s="19">
        <f t="shared" si="62"/>
        <v>0.05400287364427569</v>
      </c>
      <c r="AO35" s="17">
        <f t="shared" si="42"/>
        <v>37.899469480058436</v>
      </c>
      <c r="AP35" s="17">
        <f t="shared" si="43"/>
        <v>3.2860787137280236</v>
      </c>
      <c r="AQ35" s="17">
        <f t="shared" si="44"/>
        <v>4600.183829860661</v>
      </c>
      <c r="AR35" s="14">
        <f>Laborwerte!$A43</f>
        <v>5</v>
      </c>
      <c r="AS35" s="14">
        <f>Laborwerte!$B43</f>
        <v>2400</v>
      </c>
      <c r="AT35" s="14"/>
      <c r="AU35" s="17">
        <f t="shared" si="45"/>
        <v>3898.3143002231773</v>
      </c>
      <c r="AV35" s="17">
        <f t="shared" si="46"/>
        <v>1420.2042266130668</v>
      </c>
      <c r="AW35" s="20">
        <f t="shared" si="47"/>
        <v>0.6402473006284055</v>
      </c>
    </row>
    <row r="36" spans="1:49" ht="12">
      <c r="A36" s="14">
        <f>Laborwerte!$A44</f>
        <v>6</v>
      </c>
      <c r="B36" s="14">
        <f>Laborwerte!$B44</f>
        <v>2400</v>
      </c>
      <c r="C36" s="14"/>
      <c r="D36" s="17">
        <f>'Laborwerte (Einheiten)'!$B$15+'Laborwerte (Einheiten)'!D44</f>
        <v>99789.4130472</v>
      </c>
      <c r="E36" s="17">
        <f>'Laborwerte (Einheiten)'!$B$15+'Laborwerte (Einheiten)'!E44</f>
        <v>99773</v>
      </c>
      <c r="F36" s="17">
        <f>'Laborwerte (Einheiten)'!$B$15+'Laborwerte (Einheiten)'!F44</f>
        <v>104314</v>
      </c>
      <c r="G36" s="15">
        <f>'Laborwerte (Einheiten)'!$E$51+273.15</f>
        <v>296.15</v>
      </c>
      <c r="H36" s="15">
        <f>'Laborwerte (Einheiten)'!$E$51+273.15</f>
        <v>296.15</v>
      </c>
      <c r="I36" s="15">
        <f>'Laborwerte (Einheiten)'!G44+273.15</f>
        <v>302.65</v>
      </c>
      <c r="J36" s="20">
        <f>Konstanten!$C$3/(1-0.377*('Laborwerte (Einheiten)'!$H$51/100)*('Laborwerte (Einheiten)'!$B$52/'Laborwerte (Einheiten)'!$B$51))</f>
        <v>288.7407541918225</v>
      </c>
      <c r="K36" s="19">
        <f t="shared" si="48"/>
        <v>1.1669833093880881</v>
      </c>
      <c r="L36" s="19">
        <f t="shared" si="49"/>
        <v>1.166791367662471</v>
      </c>
      <c r="M36" s="19">
        <f t="shared" si="50"/>
        <v>1.1936962631327577</v>
      </c>
      <c r="N36" s="19">
        <f t="shared" si="51"/>
        <v>1.1802438153976142</v>
      </c>
      <c r="O36" s="14">
        <f>Laborwerte!$A44</f>
        <v>6</v>
      </c>
      <c r="P36" s="14">
        <f>Laborwerte!$B44</f>
        <v>2400</v>
      </c>
      <c r="Q36" s="14"/>
      <c r="R36" s="19">
        <f>1-0.55*('Laborwerte (Einheiten)'!D44/'Laborwerte (Einheiten)'!$B$51)</f>
        <v>1.0006088370774775</v>
      </c>
      <c r="S36" s="19">
        <f>(SQRT(2*('Laborwerte (Einheiten)'!D44*-1)/Auswertung!K36))*(PI()*SUMSQ(Konstanten!$C$5)/4)*R36*Konstanten!$C$4</f>
        <v>0.42843409270985483</v>
      </c>
      <c r="T36" s="19">
        <f t="shared" si="52"/>
        <v>0.49997543536522937</v>
      </c>
      <c r="U36" s="19">
        <f t="shared" si="53"/>
        <v>0.4285045717872178</v>
      </c>
      <c r="V36" s="19">
        <f t="shared" si="54"/>
        <v>0.4188464442814665</v>
      </c>
      <c r="W36" s="19">
        <f>U36/Konstanten!$C$8</f>
        <v>13.639724147482324</v>
      </c>
      <c r="X36" s="19">
        <f>V36/Konstanten!$C$9</f>
        <v>13.850742205074951</v>
      </c>
      <c r="Y36" s="19">
        <f>'Laborwerte (Einheiten)'!H44*Konstanten!$C$10</f>
        <v>11.03248125</v>
      </c>
      <c r="Z36" s="17">
        <f t="shared" si="55"/>
        <v>2772.7649636693714</v>
      </c>
      <c r="AA36" s="15">
        <f>(17.1+0.048*'Laborwerte (Einheiten)'!$E$51)*POWER(10,-6)</f>
        <v>1.8204E-05</v>
      </c>
      <c r="AB36" s="15">
        <f>(17.1+0.048*'Laborwerte (Einheiten)'!G44)*POWER(10,-6)</f>
        <v>1.8516E-05</v>
      </c>
      <c r="AC36" s="14">
        <f>Laborwerte!$A44</f>
        <v>6</v>
      </c>
      <c r="AD36" s="14">
        <f>Laborwerte!$B44</f>
        <v>2400</v>
      </c>
      <c r="AE36" s="14"/>
      <c r="AF36" s="22">
        <f t="shared" si="56"/>
        <v>1.5601760952748193E-05</v>
      </c>
      <c r="AG36" s="22">
        <f t="shared" si="57"/>
        <v>1.551148359248967E-05</v>
      </c>
      <c r="AH36" s="22">
        <f>W36*Konstanten!$C$5/AF36</f>
        <v>174848.5211226075</v>
      </c>
      <c r="AI36" s="22">
        <f>X36*Konstanten!$C$11/AG36</f>
        <v>147553.80234292403</v>
      </c>
      <c r="AJ36" s="19">
        <f t="shared" si="58"/>
        <v>0.03733321969734558</v>
      </c>
      <c r="AK36" s="19">
        <f t="shared" si="59"/>
        <v>0.22315373988741793</v>
      </c>
      <c r="AL36" s="19">
        <f t="shared" si="60"/>
        <v>0.2650290916215264</v>
      </c>
      <c r="AM36" s="19">
        <f t="shared" si="61"/>
        <v>0.52551605120629</v>
      </c>
      <c r="AN36" s="19">
        <f t="shared" si="62"/>
        <v>0.05045564770564511</v>
      </c>
      <c r="AO36" s="17">
        <f t="shared" si="42"/>
        <v>57.03748552460175</v>
      </c>
      <c r="AP36" s="17">
        <f t="shared" si="43"/>
        <v>5.777230780926759</v>
      </c>
      <c r="AQ36" s="17">
        <f t="shared" si="44"/>
        <v>4607.238004529337</v>
      </c>
      <c r="AR36" s="14">
        <f>Laborwerte!$A44</f>
        <v>6</v>
      </c>
      <c r="AS36" s="14">
        <f>Laborwerte!$B44</f>
        <v>2400</v>
      </c>
      <c r="AT36" s="14"/>
      <c r="AU36" s="17">
        <f t="shared" si="45"/>
        <v>3903.6324057984552</v>
      </c>
      <c r="AV36" s="17">
        <f t="shared" si="46"/>
        <v>1951.7203115949003</v>
      </c>
      <c r="AW36" s="20">
        <f t="shared" si="47"/>
        <v>0.7038895604811986</v>
      </c>
    </row>
    <row r="37" spans="1:49" ht="12">
      <c r="A37" s="14">
        <f>Laborwerte!$A45</f>
        <v>7</v>
      </c>
      <c r="B37" s="14">
        <f>Laborwerte!$B45</f>
        <v>2400</v>
      </c>
      <c r="C37" s="14"/>
      <c r="D37" s="17">
        <f>'Laborwerte (Einheiten)'!$B$15+'Laborwerte (Einheiten)'!D45</f>
        <v>99692.5271328</v>
      </c>
      <c r="E37" s="17">
        <f>'Laborwerte (Einheiten)'!$B$15+'Laborwerte (Einheiten)'!E45</f>
        <v>99664</v>
      </c>
      <c r="F37" s="17">
        <f>'Laborwerte (Einheiten)'!$B$15+'Laborwerte (Einheiten)'!F45</f>
        <v>104074</v>
      </c>
      <c r="G37" s="15">
        <f>'Laborwerte (Einheiten)'!$E$51+273.15</f>
        <v>296.15</v>
      </c>
      <c r="H37" s="15">
        <f>'Laborwerte (Einheiten)'!$E$51+273.15</f>
        <v>296.15</v>
      </c>
      <c r="I37" s="15">
        <f>'Laborwerte (Einheiten)'!G45+273.15</f>
        <v>302.15</v>
      </c>
      <c r="J37" s="20">
        <f>Konstanten!$C$3/(1-0.377*('Laborwerte (Einheiten)'!$H$51/100)*('Laborwerte (Einheiten)'!$B$52/'Laborwerte (Einheiten)'!$B$51))</f>
        <v>288.7407541918225</v>
      </c>
      <c r="K37" s="19">
        <f t="shared" si="48"/>
        <v>1.1658502809277833</v>
      </c>
      <c r="L37" s="19">
        <f t="shared" si="49"/>
        <v>1.1655166715114562</v>
      </c>
      <c r="M37" s="19">
        <f t="shared" si="50"/>
        <v>1.192920663878824</v>
      </c>
      <c r="N37" s="19">
        <f t="shared" si="51"/>
        <v>1.1792186676951402</v>
      </c>
      <c r="O37" s="14">
        <f>Laborwerte!$A45</f>
        <v>7</v>
      </c>
      <c r="P37" s="14">
        <f>Laborwerte!$B45</f>
        <v>2400</v>
      </c>
      <c r="Q37" s="14"/>
      <c r="R37" s="19">
        <f>1-0.55*('Laborwerte (Einheiten)'!D45/'Laborwerte (Einheiten)'!$B$51)</f>
        <v>1.0011422430126127</v>
      </c>
      <c r="S37" s="19">
        <f>(SQRT(2*('Laborwerte (Einheiten)'!D45*-1)/Auswertung!K37))*(PI()*SUMSQ(Konstanten!$C$5)/4)*R37*Konstanten!$C$4</f>
        <v>0.5874286382901199</v>
      </c>
      <c r="T37" s="19">
        <f t="shared" si="52"/>
        <v>0.6848538429755615</v>
      </c>
      <c r="U37" s="19">
        <f t="shared" si="53"/>
        <v>0.587596779793321</v>
      </c>
      <c r="V37" s="19">
        <f t="shared" si="54"/>
        <v>0.5740983987558191</v>
      </c>
      <c r="W37" s="19">
        <f>U37/Konstanten!$C$8</f>
        <v>18.70378640979739</v>
      </c>
      <c r="X37" s="19">
        <f>V37/Konstanten!$C$9</f>
        <v>18.984735408591902</v>
      </c>
      <c r="Y37" s="19">
        <f>'Laborwerte (Einheiten)'!H45*Konstanten!$C$10</f>
        <v>13.729309999999998</v>
      </c>
      <c r="Z37" s="17">
        <f t="shared" si="55"/>
        <v>3450.55195478855</v>
      </c>
      <c r="AA37" s="15">
        <f>(17.1+0.048*'Laborwerte (Einheiten)'!$E$51)*POWER(10,-6)</f>
        <v>1.8204E-05</v>
      </c>
      <c r="AB37" s="15">
        <f>(17.1+0.048*'Laborwerte (Einheiten)'!G45)*POWER(10,-6)</f>
        <v>1.8492E-05</v>
      </c>
      <c r="AC37" s="14">
        <f>Laborwerte!$A45</f>
        <v>7</v>
      </c>
      <c r="AD37" s="14">
        <f>Laborwerte!$B45</f>
        <v>2400</v>
      </c>
      <c r="AE37" s="14"/>
      <c r="AF37" s="22">
        <f t="shared" si="56"/>
        <v>1.561882420471329E-05</v>
      </c>
      <c r="AG37" s="22">
        <f t="shared" si="57"/>
        <v>1.5501449978972286E-05</v>
      </c>
      <c r="AH37" s="22">
        <f>W37*Konstanten!$C$5/AF37</f>
        <v>239503.12987264627</v>
      </c>
      <c r="AI37" s="22">
        <f>X37*Konstanten!$C$11/AG37</f>
        <v>202377.82428306364</v>
      </c>
      <c r="AJ37" s="19">
        <f t="shared" si="58"/>
        <v>0.03500627260698602</v>
      </c>
      <c r="AK37" s="19">
        <f t="shared" si="59"/>
        <v>0.21488507985043043</v>
      </c>
      <c r="AL37" s="19">
        <f t="shared" si="60"/>
        <v>0.1585624621368229</v>
      </c>
      <c r="AM37" s="19">
        <f t="shared" si="61"/>
        <v>0.40845381459423935</v>
      </c>
      <c r="AN37" s="19">
        <f t="shared" si="62"/>
        <v>0.04724940217863287</v>
      </c>
      <c r="AO37" s="17">
        <f t="shared" si="42"/>
        <v>83.27037480365105</v>
      </c>
      <c r="AP37" s="17">
        <f t="shared" si="43"/>
        <v>10.15750351571372</v>
      </c>
      <c r="AQ37" s="17">
        <f t="shared" si="44"/>
        <v>4509.670987688155</v>
      </c>
      <c r="AR37" s="14">
        <f>Laborwerte!$A45</f>
        <v>7</v>
      </c>
      <c r="AS37" s="14">
        <f>Laborwerte!$B45</f>
        <v>2400</v>
      </c>
      <c r="AT37" s="14"/>
      <c r="AU37" s="17">
        <f t="shared" si="45"/>
        <v>3824.287310938353</v>
      </c>
      <c r="AV37" s="17">
        <f t="shared" si="46"/>
        <v>2619.077861538808</v>
      </c>
      <c r="AW37" s="20">
        <f t="shared" si="47"/>
        <v>0.7590315682405963</v>
      </c>
    </row>
    <row r="38" spans="1:49" ht="12">
      <c r="A38" s="14">
        <f>Laborwerte!$A46</f>
        <v>8</v>
      </c>
      <c r="B38" s="14">
        <f>Laborwerte!$B46</f>
        <v>2400</v>
      </c>
      <c r="C38" s="14"/>
      <c r="D38" s="17">
        <f>'Laborwerte (Einheiten)'!$B$15+'Laborwerte (Einheiten)'!D46</f>
        <v>99542.794356</v>
      </c>
      <c r="E38" s="17">
        <f>'Laborwerte (Einheiten)'!$B$15+'Laborwerte (Einheiten)'!E46</f>
        <v>99496</v>
      </c>
      <c r="F38" s="17">
        <f>'Laborwerte (Einheiten)'!$B$15+'Laborwerte (Einheiten)'!F46</f>
        <v>103430</v>
      </c>
      <c r="G38" s="15">
        <f>'Laborwerte (Einheiten)'!$E$51+273.15</f>
        <v>296.15</v>
      </c>
      <c r="H38" s="15">
        <f>'Laborwerte (Einheiten)'!$E$51+273.15</f>
        <v>296.15</v>
      </c>
      <c r="I38" s="15">
        <f>'Laborwerte (Einheiten)'!G46+273.15</f>
        <v>301.15</v>
      </c>
      <c r="J38" s="20">
        <f>Konstanten!$C$3/(1-0.377*('Laborwerte (Einheiten)'!$H$51/100)*('Laborwerte (Einheiten)'!$B$52/'Laborwerte (Einheiten)'!$B$51))</f>
        <v>288.7407541918225</v>
      </c>
      <c r="K38" s="19">
        <f t="shared" si="48"/>
        <v>1.1640992369436756</v>
      </c>
      <c r="L38" s="19">
        <f t="shared" si="49"/>
        <v>1.1635520022144792</v>
      </c>
      <c r="M38" s="19">
        <f t="shared" si="50"/>
        <v>1.1894756903331811</v>
      </c>
      <c r="N38" s="19">
        <f t="shared" si="51"/>
        <v>1.17651384627383</v>
      </c>
      <c r="O38" s="14">
        <f>Laborwerte!$A46</f>
        <v>8</v>
      </c>
      <c r="P38" s="14">
        <f>Laborwerte!$B46</f>
        <v>2400</v>
      </c>
      <c r="Q38" s="14"/>
      <c r="R38" s="19">
        <f>1-0.55*('Laborwerte (Einheiten)'!D46/'Laborwerte (Einheiten)'!$B$51)</f>
        <v>1.0019665976396397</v>
      </c>
      <c r="S38" s="19">
        <f>(SQRT(2*('Laborwerte (Einheiten)'!D46*-1)/Auswertung!K38))*(PI()*SUMSQ(Konstanten!$C$5)/4)*R38*Konstanten!$C$4</f>
        <v>0.7720002887644504</v>
      </c>
      <c r="T38" s="19">
        <f t="shared" si="52"/>
        <v>0.8986849470709939</v>
      </c>
      <c r="U38" s="19">
        <f t="shared" si="53"/>
        <v>0.7723633712636918</v>
      </c>
      <c r="V38" s="19">
        <f t="shared" si="54"/>
        <v>0.7555303184206021</v>
      </c>
      <c r="W38" s="19">
        <f>U38/Konstanten!$C$8</f>
        <v>24.58508967994746</v>
      </c>
      <c r="X38" s="19">
        <f>V38/Konstanten!$C$9</f>
        <v>24.98446820173949</v>
      </c>
      <c r="Y38" s="19">
        <f>'Laborwerte (Einheiten)'!H46*Konstanten!$C$10</f>
        <v>16.671305</v>
      </c>
      <c r="Z38" s="17">
        <f t="shared" si="55"/>
        <v>4189.955945100383</v>
      </c>
      <c r="AA38" s="15">
        <f>(17.1+0.048*'Laborwerte (Einheiten)'!$E$51)*POWER(10,-6)</f>
        <v>1.8204E-05</v>
      </c>
      <c r="AB38" s="15">
        <f>(17.1+0.048*'Laborwerte (Einheiten)'!G46)*POWER(10,-6)</f>
        <v>1.8444E-05</v>
      </c>
      <c r="AC38" s="14">
        <f>Laborwerte!$A46</f>
        <v>8</v>
      </c>
      <c r="AD38" s="14">
        <f>Laborwerte!$B46</f>
        <v>2400</v>
      </c>
      <c r="AE38" s="14"/>
      <c r="AF38" s="22">
        <f t="shared" si="56"/>
        <v>1.5645196746990282E-05</v>
      </c>
      <c r="AG38" s="22">
        <f t="shared" si="57"/>
        <v>1.5505991547278865E-05</v>
      </c>
      <c r="AH38" s="22">
        <f>W38*Konstanten!$C$5/AF38</f>
        <v>314282.90839074267</v>
      </c>
      <c r="AI38" s="22">
        <f>X38*Konstanten!$C$11/AG38</f>
        <v>266257.14082118723</v>
      </c>
      <c r="AJ38" s="19">
        <f t="shared" si="58"/>
        <v>0.03316610768621153</v>
      </c>
      <c r="AK38" s="19">
        <f t="shared" si="59"/>
        <v>0.20799127331988165</v>
      </c>
      <c r="AL38" s="19">
        <f t="shared" si="60"/>
        <v>0.08753262110820427</v>
      </c>
      <c r="AM38" s="19">
        <f t="shared" si="61"/>
        <v>0.32869000211429744</v>
      </c>
      <c r="AN38" s="19">
        <f t="shared" si="62"/>
        <v>0.04470162194487204</v>
      </c>
      <c r="AO38" s="17">
        <f t="shared" si="42"/>
        <v>115.58085159055973</v>
      </c>
      <c r="AP38" s="17">
        <f t="shared" si="43"/>
        <v>16.595451635384375</v>
      </c>
      <c r="AQ38" s="17">
        <f t="shared" si="44"/>
        <v>4077.822035388161</v>
      </c>
      <c r="AR38" s="14">
        <f>Laborwerte!$A46</f>
        <v>8</v>
      </c>
      <c r="AS38" s="14">
        <f>Laborwerte!$B46</f>
        <v>2400</v>
      </c>
      <c r="AT38" s="14"/>
      <c r="AU38" s="17">
        <f t="shared" si="45"/>
        <v>3466.0212867899054</v>
      </c>
      <c r="AV38" s="17">
        <f t="shared" si="46"/>
        <v>3114.8611566657237</v>
      </c>
      <c r="AW38" s="20">
        <f t="shared" si="47"/>
        <v>0.7434114337904089</v>
      </c>
    </row>
    <row r="39" spans="1:49" ht="12">
      <c r="A39" s="14">
        <f>Laborwerte!$A47</f>
        <v>9</v>
      </c>
      <c r="B39" s="14">
        <f>Laborwerte!$B47</f>
        <v>2400</v>
      </c>
      <c r="C39" s="14"/>
      <c r="D39" s="17">
        <f>'Laborwerte (Einheiten)'!$B$15+'Laborwerte (Einheiten)'!D47</f>
        <v>99333.3641976</v>
      </c>
      <c r="E39" s="17">
        <f>'Laborwerte (Einheiten)'!$B$15+'Laborwerte (Einheiten)'!E47</f>
        <v>99261</v>
      </c>
      <c r="F39" s="17">
        <f>'Laborwerte (Einheiten)'!$B$15+'Laborwerte (Einheiten)'!F47</f>
        <v>102424</v>
      </c>
      <c r="G39" s="15">
        <f>'Laborwerte (Einheiten)'!$E$51+273.15</f>
        <v>296.15</v>
      </c>
      <c r="H39" s="15">
        <f>'Laborwerte (Einheiten)'!$E$51+273.15</f>
        <v>296.15</v>
      </c>
      <c r="I39" s="15">
        <f>'Laborwerte (Einheiten)'!G47+273.15</f>
        <v>301.15</v>
      </c>
      <c r="J39" s="20">
        <f>Konstanten!$C$3/(1-0.377*('Laborwerte (Einheiten)'!$H$51/100)*('Laborwerte (Einheiten)'!$B$52/'Laborwerte (Einheiten)'!$B$51))</f>
        <v>288.7407541918225</v>
      </c>
      <c r="K39" s="19">
        <f t="shared" si="48"/>
        <v>1.1616500643123095</v>
      </c>
      <c r="L39" s="19">
        <f t="shared" si="49"/>
        <v>1.1608038040907314</v>
      </c>
      <c r="M39" s="19">
        <f t="shared" si="50"/>
        <v>1.177906391827185</v>
      </c>
      <c r="N39" s="19">
        <f t="shared" si="51"/>
        <v>1.1693550979589582</v>
      </c>
      <c r="O39" s="14">
        <f>Laborwerte!$A47</f>
        <v>9</v>
      </c>
      <c r="P39" s="14">
        <f>Laborwerte!$B47</f>
        <v>2400</v>
      </c>
      <c r="Q39" s="14"/>
      <c r="R39" s="19">
        <f>1-0.55*('Laborwerte (Einheiten)'!D47/'Laborwerte (Einheiten)'!$B$51)</f>
        <v>1.0031196165297298</v>
      </c>
      <c r="S39" s="19">
        <f>(SQRT(2*('Laborwerte (Einheiten)'!D47*-1)/Auswertung!K39))*(PI()*SUMSQ(Konstanten!$C$5)/4)*R39*Konstanten!$C$4</f>
        <v>0.9744669941598956</v>
      </c>
      <c r="T39" s="19">
        <f t="shared" si="52"/>
        <v>1.1319896464360657</v>
      </c>
      <c r="U39" s="19">
        <f t="shared" si="53"/>
        <v>0.9751774093493464</v>
      </c>
      <c r="V39" s="19">
        <f t="shared" si="54"/>
        <v>0.9610183409227514</v>
      </c>
      <c r="W39" s="19">
        <f>U39/Konstanten!$C$8</f>
        <v>31.040861017899427</v>
      </c>
      <c r="X39" s="19">
        <f>V39/Konstanten!$C$9</f>
        <v>31.779707041096277</v>
      </c>
      <c r="Y39" s="19">
        <f>'Laborwerte (Einheiten)'!H47*Konstanten!$C$10</f>
        <v>19.85846625</v>
      </c>
      <c r="Z39" s="17">
        <f t="shared" si="55"/>
        <v>4990.976934604868</v>
      </c>
      <c r="AA39" s="15">
        <f>(17.1+0.048*'Laborwerte (Einheiten)'!$E$51)*POWER(10,-6)</f>
        <v>1.8204E-05</v>
      </c>
      <c r="AB39" s="15">
        <f>(17.1+0.048*'Laborwerte (Einheiten)'!G47)*POWER(10,-6)</f>
        <v>1.8444E-05</v>
      </c>
      <c r="AC39" s="14">
        <f>Laborwerte!$A47</f>
        <v>9</v>
      </c>
      <c r="AD39" s="14">
        <f>Laborwerte!$B47</f>
        <v>2400</v>
      </c>
      <c r="AE39" s="14"/>
      <c r="AF39" s="22">
        <f t="shared" si="56"/>
        <v>1.568223668448379E-05</v>
      </c>
      <c r="AG39" s="22">
        <f t="shared" si="57"/>
        <v>1.565829010520047E-05</v>
      </c>
      <c r="AH39" s="22">
        <f>W39*Konstanten!$C$5/AF39</f>
        <v>395872.88015633204</v>
      </c>
      <c r="AI39" s="22">
        <f>X39*Konstanten!$C$11/AG39</f>
        <v>335379.2980305073</v>
      </c>
      <c r="AJ39" s="19">
        <f t="shared" si="58"/>
        <v>0.03171670626694728</v>
      </c>
      <c r="AK39" s="19">
        <f t="shared" si="59"/>
        <v>0.202309797412082</v>
      </c>
      <c r="AL39" s="19">
        <f t="shared" si="60"/>
        <v>0.045776296875726034</v>
      </c>
      <c r="AM39" s="19">
        <f t="shared" si="61"/>
        <v>0.2798028005547553</v>
      </c>
      <c r="AN39" s="19">
        <f t="shared" si="62"/>
        <v>0.042714667313941926</v>
      </c>
      <c r="AO39" s="17">
        <f t="shared" si="42"/>
        <v>156.47624030213655</v>
      </c>
      <c r="AP39" s="17">
        <f t="shared" si="43"/>
        <v>25.407245834070817</v>
      </c>
      <c r="AQ39" s="17">
        <f t="shared" si="44"/>
        <v>3372.021134888089</v>
      </c>
      <c r="AR39" s="14">
        <f>Laborwerte!$A47</f>
        <v>9</v>
      </c>
      <c r="AS39" s="14">
        <f>Laborwerte!$B47</f>
        <v>2400</v>
      </c>
      <c r="AT39" s="14"/>
      <c r="AU39" s="17">
        <f t="shared" si="45"/>
        <v>2883.658813968278</v>
      </c>
      <c r="AV39" s="17">
        <f t="shared" si="46"/>
        <v>3264.2719212661955</v>
      </c>
      <c r="AW39" s="20">
        <f t="shared" si="47"/>
        <v>0.6540346637615999</v>
      </c>
    </row>
    <row r="40" spans="1:49" ht="12">
      <c r="A40" s="14">
        <f>Laborwerte!$A48</f>
        <v>10</v>
      </c>
      <c r="B40" s="14">
        <f>Laborwerte!$B48</f>
        <v>2400</v>
      </c>
      <c r="C40" s="14"/>
      <c r="D40" s="17">
        <f>'Laborwerte (Einheiten)'!$B$15+'Laborwerte (Einheiten)'!D48</f>
        <v>99071.0871768</v>
      </c>
      <c r="E40" s="17">
        <f>'Laborwerte (Einheiten)'!$B$15+'Laborwerte (Einheiten)'!E48</f>
        <v>98967</v>
      </c>
      <c r="F40" s="17">
        <f>'Laborwerte (Einheiten)'!$B$15+'Laborwerte (Einheiten)'!F48</f>
        <v>101146</v>
      </c>
      <c r="G40" s="15">
        <f>'Laborwerte (Einheiten)'!$E$51+273.15</f>
        <v>296.15</v>
      </c>
      <c r="H40" s="15">
        <f>'Laborwerte (Einheiten)'!$E$51+273.15</f>
        <v>296.15</v>
      </c>
      <c r="I40" s="15">
        <f>'Laborwerte (Einheiten)'!G48+273.15</f>
        <v>300.65</v>
      </c>
      <c r="J40" s="20">
        <f>Konstanten!$C$3/(1-0.377*('Laborwerte (Einheiten)'!$H$51/100)*('Laborwerte (Einheiten)'!$B$52/'Laborwerte (Einheiten)'!$B$51))</f>
        <v>288.7407541918225</v>
      </c>
      <c r="K40" s="19">
        <f t="shared" si="48"/>
        <v>1.1585828761571406</v>
      </c>
      <c r="L40" s="19">
        <f t="shared" si="49"/>
        <v>1.1573656328210216</v>
      </c>
      <c r="M40" s="19">
        <f t="shared" si="50"/>
        <v>1.1651435029038677</v>
      </c>
      <c r="N40" s="19">
        <f t="shared" si="51"/>
        <v>1.1612545678624446</v>
      </c>
      <c r="O40" s="14">
        <f>Laborwerte!$A48</f>
        <v>10</v>
      </c>
      <c r="P40" s="14">
        <f>Laborwerte!$B48</f>
        <v>2400</v>
      </c>
      <c r="Q40" s="14"/>
      <c r="R40" s="19">
        <f>1-0.55*('Laborwerte (Einheiten)'!D48/'Laborwerte (Einheiten)'!$B$51)</f>
        <v>1.0045635841117118</v>
      </c>
      <c r="S40" s="19">
        <f>(SQRT(2*('Laborwerte (Einheiten)'!D48*-1)/Auswertung!K40))*(PI()*SUMSQ(Konstanten!$C$5)/4)*R40*Konstanten!$C$4</f>
        <v>1.1818663626541432</v>
      </c>
      <c r="T40" s="19">
        <f t="shared" si="52"/>
        <v>1.3692901296772155</v>
      </c>
      <c r="U40" s="19">
        <f t="shared" si="53"/>
        <v>1.1831093742948273</v>
      </c>
      <c r="V40" s="19">
        <f t="shared" si="54"/>
        <v>1.1752115737371032</v>
      </c>
      <c r="W40" s="19">
        <f>U40/Konstanten!$C$8</f>
        <v>37.65954102747622</v>
      </c>
      <c r="X40" s="19">
        <f>V40/Konstanten!$C$9</f>
        <v>38.862816591835426</v>
      </c>
      <c r="Y40" s="19">
        <f>'Laborwerte (Einheiten)'!H48*Konstanten!$C$10</f>
        <v>23.29079375</v>
      </c>
      <c r="Z40" s="17">
        <f t="shared" si="55"/>
        <v>5853.614923302006</v>
      </c>
      <c r="AA40" s="15">
        <f>(17.1+0.048*'Laborwerte (Einheiten)'!$E$51)*POWER(10,-6)</f>
        <v>1.8204E-05</v>
      </c>
      <c r="AB40" s="15">
        <f>(17.1+0.048*'Laborwerte (Einheiten)'!G48)*POWER(10,-6)</f>
        <v>1.842E-05</v>
      </c>
      <c r="AC40" s="14">
        <f>Laborwerte!$A48</f>
        <v>10</v>
      </c>
      <c r="AD40" s="14">
        <f>Laborwerte!$B48</f>
        <v>2400</v>
      </c>
      <c r="AE40" s="14"/>
      <c r="AF40" s="22">
        <f t="shared" si="56"/>
        <v>1.572882370425036E-05</v>
      </c>
      <c r="AG40" s="22">
        <f t="shared" si="57"/>
        <v>1.5809211443991355E-05</v>
      </c>
      <c r="AH40" s="22">
        <f>W40*Konstanten!$C$5/AF40</f>
        <v>478860.2343772165</v>
      </c>
      <c r="AI40" s="22">
        <f>X40*Konstanten!$C$11/AG40</f>
        <v>406213.8830082577</v>
      </c>
      <c r="AJ40" s="19">
        <f t="shared" si="58"/>
        <v>0.030594772756934775</v>
      </c>
      <c r="AK40" s="19">
        <f t="shared" si="59"/>
        <v>0.1977418315594218</v>
      </c>
      <c r="AL40" s="19">
        <f t="shared" si="60"/>
        <v>0.023674982127892624</v>
      </c>
      <c r="AM40" s="19">
        <f t="shared" si="61"/>
        <v>0.2520115864442492</v>
      </c>
      <c r="AN40" s="19">
        <f t="shared" si="62"/>
        <v>0.0411664084613544</v>
      </c>
      <c r="AO40" s="17">
        <f t="shared" si="42"/>
        <v>206.82886101338673</v>
      </c>
      <c r="AP40" s="17">
        <f t="shared" si="43"/>
        <v>36.221042596994046</v>
      </c>
      <c r="AQ40" s="17">
        <f t="shared" si="44"/>
        <v>2475.512602505201</v>
      </c>
      <c r="AR40" s="14">
        <f>Laborwerte!$A48</f>
        <v>10</v>
      </c>
      <c r="AS40" s="14">
        <f>Laborwerte!$B48</f>
        <v>2400</v>
      </c>
      <c r="AT40" s="14"/>
      <c r="AU40" s="17">
        <f t="shared" si="45"/>
        <v>2131.7570419222975</v>
      </c>
      <c r="AV40" s="17">
        <f t="shared" si="46"/>
        <v>2918.9938763741006</v>
      </c>
      <c r="AW40" s="20">
        <f t="shared" si="47"/>
        <v>0.498665169236569</v>
      </c>
    </row>
    <row r="41" spans="1:49" ht="12">
      <c r="A41" s="14">
        <f>Laborwerte!$A49</f>
        <v>11</v>
      </c>
      <c r="B41" s="14">
        <f>Laborwerte!$B49</f>
        <v>2400</v>
      </c>
      <c r="C41" s="14" t="str">
        <f>Laborwerte!$C49</f>
        <v>auf</v>
      </c>
      <c r="D41" s="17">
        <f>'Laborwerte (Einheiten)'!$B$15+'Laborwerte (Einheiten)'!D49</f>
        <v>98857.742436</v>
      </c>
      <c r="E41" s="17">
        <f>'Laborwerte (Einheiten)'!$B$15+'Laborwerte (Einheiten)'!E49</f>
        <v>98729</v>
      </c>
      <c r="F41" s="17">
        <f>'Laborwerte (Einheiten)'!$B$15+'Laborwerte (Einheiten)'!F49</f>
        <v>99876</v>
      </c>
      <c r="G41" s="15">
        <f>'Laborwerte (Einheiten)'!$E$51+273.15</f>
        <v>296.15</v>
      </c>
      <c r="H41" s="15">
        <f>'Laborwerte (Einheiten)'!$E$51+273.15</f>
        <v>296.15</v>
      </c>
      <c r="I41" s="15">
        <f>'Laborwerte (Einheiten)'!G49+273.15</f>
        <v>300.65</v>
      </c>
      <c r="J41" s="20">
        <f>Konstanten!$C$3/(1-0.377*('Laborwerte (Einheiten)'!$H$51/100)*('Laborwerte (Einheiten)'!$B$52/'Laborwerte (Einheiten)'!$B$51))</f>
        <v>288.7407541918225</v>
      </c>
      <c r="K41" s="19">
        <f t="shared" si="48"/>
        <v>1.1560879245980853</v>
      </c>
      <c r="L41" s="19">
        <f t="shared" si="49"/>
        <v>1.1545823513169706</v>
      </c>
      <c r="M41" s="19">
        <f t="shared" si="50"/>
        <v>1.1505138363951783</v>
      </c>
      <c r="N41" s="19">
        <f t="shared" si="51"/>
        <v>1.1525480938560744</v>
      </c>
      <c r="O41" s="14">
        <f>Laborwerte!$A49</f>
        <v>11</v>
      </c>
      <c r="P41" s="14">
        <f>Laborwerte!$B49</f>
        <v>2400</v>
      </c>
      <c r="Q41" s="14" t="str">
        <f>Laborwerte!$C49</f>
        <v>auf</v>
      </c>
      <c r="R41" s="19">
        <f>1-0.55*('Laborwerte (Einheiten)'!D49/'Laborwerte (Einheiten)'!$B$51)</f>
        <v>1.0057381547567568</v>
      </c>
      <c r="S41" s="19">
        <f>(SQRT(2*('Laborwerte (Einheiten)'!D49*-1)/Auswertung!K41))*(PI()*SUMSQ(Konstanten!$C$5)/4)*R41*Konstanten!$C$4</f>
        <v>1.3282416266064168</v>
      </c>
      <c r="T41" s="19">
        <f t="shared" si="52"/>
        <v>1.5355641054681972</v>
      </c>
      <c r="U41" s="19">
        <f t="shared" si="53"/>
        <v>1.3299736512658982</v>
      </c>
      <c r="V41" s="19">
        <f t="shared" si="54"/>
        <v>1.3346767825752266</v>
      </c>
      <c r="W41" s="19">
        <f>U41/Konstanten!$C$8</f>
        <v>42.33437615618885</v>
      </c>
      <c r="X41" s="19">
        <f>V41/Konstanten!$C$9</f>
        <v>44.13613698992152</v>
      </c>
      <c r="Y41" s="19">
        <f>'Laborwerte (Einheiten)'!H49*Konstanten!$C$10</f>
        <v>25.49729</v>
      </c>
      <c r="Z41" s="17">
        <f t="shared" si="55"/>
        <v>6408.16791603588</v>
      </c>
      <c r="AA41" s="15">
        <f>(17.1+0.048*'Laborwerte (Einheiten)'!$E$51)*POWER(10,-6)</f>
        <v>1.8204E-05</v>
      </c>
      <c r="AB41" s="15">
        <f>(17.1+0.048*'Laborwerte (Einheiten)'!G49)*POWER(10,-6)</f>
        <v>1.842E-05</v>
      </c>
      <c r="AC41" s="14">
        <f>Laborwerte!$A49</f>
        <v>11</v>
      </c>
      <c r="AD41" s="14">
        <f>Laborwerte!$B49</f>
        <v>2400</v>
      </c>
      <c r="AE41" s="14" t="str">
        <f>Laborwerte!$C49</f>
        <v>auf</v>
      </c>
      <c r="AF41" s="22">
        <f t="shared" si="56"/>
        <v>1.5766740223627762E-05</v>
      </c>
      <c r="AG41" s="22">
        <f t="shared" si="57"/>
        <v>1.6010237701889836E-05</v>
      </c>
      <c r="AH41" s="22">
        <f>W41*Konstanten!$C$5/AF41</f>
        <v>537008.6087008307</v>
      </c>
      <c r="AI41" s="22">
        <f>X41*Konstanten!$C$11/AG41</f>
        <v>455540.7538337984</v>
      </c>
      <c r="AJ41" s="19">
        <f t="shared" si="58"/>
        <v>0.029949421461113894</v>
      </c>
      <c r="AK41" s="19">
        <f t="shared" si="59"/>
        <v>0.19504097331563022</v>
      </c>
      <c r="AL41" s="19">
        <f t="shared" si="60"/>
        <v>0.014915798234615476</v>
      </c>
      <c r="AM41" s="19">
        <f t="shared" si="61"/>
        <v>0.2399061930113596</v>
      </c>
      <c r="AN41" s="19">
        <f t="shared" si="62"/>
        <v>0.04028205514526789</v>
      </c>
      <c r="AO41" s="17">
        <f t="shared" si="42"/>
        <v>248.21196163071468</v>
      </c>
      <c r="AP41" s="17">
        <f t="shared" si="43"/>
        <v>45.140057485680536</v>
      </c>
      <c r="AQ41" s="17">
        <f t="shared" si="44"/>
        <v>1530.1350453071527</v>
      </c>
      <c r="AR41" s="14">
        <f>Laborwerte!$A49</f>
        <v>11</v>
      </c>
      <c r="AS41" s="14">
        <f>Laborwerte!$B49</f>
        <v>2400</v>
      </c>
      <c r="AT41" s="14" t="str">
        <f>Laborwerte!$C49</f>
        <v>auf</v>
      </c>
      <c r="AU41" s="17">
        <f t="shared" si="45"/>
        <v>1327.610581687561</v>
      </c>
      <c r="AV41" s="17">
        <f t="shared" si="46"/>
        <v>2038.631155279173</v>
      </c>
      <c r="AW41" s="20">
        <f t="shared" si="47"/>
        <v>0.31813010863489966</v>
      </c>
    </row>
  </sheetData>
  <printOptions/>
  <pageMargins left="0.75" right="0.75" top="1" bottom="1" header="0.4921259845" footer="0.4921259845"/>
  <pageSetup orientation="landscape" paperSize="9" scale="85" r:id="rId134"/>
  <headerFooter alignWithMargins="0">
    <oddHeader>&amp;C&amp;A</oddHeader>
    <oddFooter>&amp;CSeite &amp;P von &amp;N</oddFooter>
  </headerFooter>
  <legacyDrawing r:id="rId133"/>
  <oleObjects>
    <oleObject progId="Equation.3" shapeId="186475" r:id="rId1"/>
    <oleObject progId="Equation.3" shapeId="186938" r:id="rId2"/>
    <oleObject progId="Equation.3" shapeId="187283" r:id="rId3"/>
    <oleObject progId="Equation.3" shapeId="198823" r:id="rId4"/>
    <oleObject progId="Equation.3" shapeId="199474" r:id="rId5"/>
    <oleObject progId="Equation.3" shapeId="200482" r:id="rId6"/>
    <oleObject progId="Equation.3" shapeId="213711" r:id="rId7"/>
    <oleObject progId="Equation.3" shapeId="213712" r:id="rId8"/>
    <oleObject progId="Equation.3" shapeId="213713" r:id="rId9"/>
    <oleObject progId="Equation.3" shapeId="216490" r:id="rId10"/>
    <oleObject progId="Equation.3" shapeId="216491" r:id="rId11"/>
    <oleObject progId="Equation.3" shapeId="216492" r:id="rId12"/>
    <oleObject progId="Equation.3" shapeId="219921" r:id="rId13"/>
    <oleObject progId="Equation.3" shapeId="220538" r:id="rId14"/>
    <oleObject progId="Equation.3" shapeId="221189" r:id="rId15"/>
    <oleObject progId="Equation.3" shapeId="231109" r:id="rId16"/>
    <oleObject progId="Equation.3" shapeId="231110" r:id="rId17"/>
    <oleObject progId="Equation.3" shapeId="231111" r:id="rId18"/>
    <oleObject progId="Equation.3" shapeId="233776" r:id="rId19"/>
    <oleObject progId="Equation.3" shapeId="233777" r:id="rId20"/>
    <oleObject progId="Equation.3" shapeId="233778" r:id="rId21"/>
    <oleObject progId="Equation.3" shapeId="239416" r:id="rId22"/>
    <oleObject progId="Equation.3" shapeId="290363" r:id="rId23"/>
    <oleObject progId="Equation.3" shapeId="293771" r:id="rId24"/>
    <oleObject progId="Equation.3" shapeId="302624" r:id="rId25"/>
    <oleObject progId="Equation.3" shapeId="303580" r:id="rId26"/>
    <oleObject progId="Equation.3" shapeId="307673" r:id="rId27"/>
    <oleObject progId="Equation.3" shapeId="331402" r:id="rId28"/>
    <oleObject progId="Equation.3" shapeId="331403" r:id="rId29"/>
    <oleObject progId="Equation.3" shapeId="331404" r:id="rId30"/>
    <oleObject progId="Equation.3" shapeId="337699" r:id="rId31"/>
    <oleObject progId="Equation.3" shapeId="337700" r:id="rId32"/>
    <oleObject progId="Equation.3" shapeId="337701" r:id="rId33"/>
    <oleObject progId="Equation.3" shapeId="339846" r:id="rId34"/>
    <oleObject progId="Equation.3" shapeId="343584" r:id="rId35"/>
    <oleObject progId="Equation.3" shapeId="343705" r:id="rId36"/>
    <oleObject progId="Equation.3" shapeId="346575" r:id="rId37"/>
    <oleObject progId="Equation.3" shapeId="346576" r:id="rId38"/>
    <oleObject progId="Equation.3" shapeId="346577" r:id="rId39"/>
    <oleObject progId="Equation.3" shapeId="352229" r:id="rId40"/>
    <oleObject progId="Equation.3" shapeId="352230" r:id="rId41"/>
    <oleObject progId="Equation.3" shapeId="352231" r:id="rId42"/>
    <oleObject progId="Equation.3" shapeId="368898" r:id="rId43"/>
    <oleObject progId="Equation.3" shapeId="444577" r:id="rId44"/>
    <oleObject progId="Equation.3" shapeId="449349" r:id="rId45"/>
    <oleObject progId="Equation.3" shapeId="466584" r:id="rId46"/>
    <oleObject progId="Equation.3" shapeId="500452" r:id="rId47"/>
    <oleObject progId="Equation.3" shapeId="504578" r:id="rId48"/>
    <oleObject progId="Equation.3" shapeId="507725" r:id="rId49"/>
    <oleObject progId="Equation.3" shapeId="510668" r:id="rId50"/>
    <oleObject progId="Equation.3" shapeId="510809" r:id="rId51"/>
    <oleObject progId="Equation.3" shapeId="513500" r:id="rId52"/>
    <oleObject progId="Equation.3" shapeId="514469" r:id="rId53"/>
    <oleObject progId="Equation.3" shapeId="530932" r:id="rId54"/>
    <oleObject progId="Equation.3" shapeId="530933" r:id="rId55"/>
    <oleObject progId="Equation.3" shapeId="531150" r:id="rId56"/>
    <oleObject progId="Equation.3" shapeId="531151" r:id="rId57"/>
    <oleObject progId="Equation.3" shapeId="540999" r:id="rId58"/>
    <oleObject progId="Equation.3" shapeId="541595" r:id="rId59"/>
    <oleObject progId="Equation.3" shapeId="573373" r:id="rId60"/>
    <oleObject progId="Equation.3" shapeId="573374" r:id="rId61"/>
    <oleObject progId="Equation.3" shapeId="574183" r:id="rId62"/>
    <oleObject progId="Equation.3" shapeId="574184" r:id="rId63"/>
    <oleObject progId="Equation.3" shapeId="582804" r:id="rId64"/>
    <oleObject progId="Equation.3" shapeId="589861" r:id="rId65"/>
    <oleObject progId="Equation.3" shapeId="590047" r:id="rId66"/>
    <oleObject progId="Equation.3" shapeId="615972" r:id="rId67"/>
    <oleObject progId="Equation.3" shapeId="623972" r:id="rId68"/>
    <oleObject progId="Equation.3" shapeId="624526" r:id="rId69"/>
    <oleObject progId="Equation.3" shapeId="626947" r:id="rId70"/>
    <oleObject progId="Equation.3" shapeId="626948" r:id="rId71"/>
    <oleObject progId="Equation.3" shapeId="626949" r:id="rId72"/>
    <oleObject progId="Equation.3" shapeId="626950" r:id="rId73"/>
    <oleObject progId="Equation.3" shapeId="626951" r:id="rId74"/>
    <oleObject progId="Equation.3" shapeId="626952" r:id="rId75"/>
    <oleObject progId="Equation.3" shapeId="627645" r:id="rId76"/>
    <oleObject progId="Equation.3" shapeId="630778" r:id="rId77"/>
    <oleObject progId="Equation.3" shapeId="630917" r:id="rId78"/>
    <oleObject progId="Equation.3" shapeId="641372" r:id="rId79"/>
    <oleObject progId="Equation.3" shapeId="642857" r:id="rId80"/>
    <oleObject progId="Equation.3" shapeId="651645" r:id="rId81"/>
    <oleObject progId="Equation.3" shapeId="651646" r:id="rId82"/>
    <oleObject progId="Equation.3" shapeId="652558" r:id="rId83"/>
    <oleObject progId="Equation.3" shapeId="652559" r:id="rId84"/>
    <oleObject progId="Equation.3" shapeId="660063" r:id="rId85"/>
    <oleObject progId="Equation.3" shapeId="682295" r:id="rId86"/>
    <oleObject progId="Equation.3" shapeId="682525" r:id="rId87"/>
    <oleObject progId="Equation.3" shapeId="696281" r:id="rId88"/>
    <oleObject progId="Equation.3" shapeId="696426" r:id="rId89"/>
    <oleObject progId="Equation.3" shapeId="696427" r:id="rId90"/>
    <oleObject progId="Equation.3" shapeId="700314" r:id="rId91"/>
    <oleObject progId="Equation.3" shapeId="705355" r:id="rId92"/>
    <oleObject progId="Equation.3" shapeId="705572" r:id="rId93"/>
    <oleObject progId="Equation.3" shapeId="709249" r:id="rId94"/>
    <oleObject progId="Equation.3" shapeId="718588" r:id="rId95"/>
    <oleObject progId="Equation.3" shapeId="718698" r:id="rId96"/>
    <oleObject progId="Equation.3" shapeId="719884" r:id="rId97"/>
    <oleObject progId="Equation.3" shapeId="722426" r:id="rId98"/>
    <oleObject progId="Equation.3" shapeId="722540" r:id="rId99"/>
    <oleObject progId="Equation.3" shapeId="724764" r:id="rId100"/>
    <oleObject progId="Equation.3" shapeId="737127" r:id="rId101"/>
    <oleObject progId="Equation.3" shapeId="737298" r:id="rId102"/>
    <oleObject progId="Equation.3" shapeId="739744" r:id="rId103"/>
    <oleObject progId="Equation.3" shapeId="747835" r:id="rId104"/>
    <oleObject progId="Equation.3" shapeId="756759" r:id="rId105"/>
    <oleObject progId="Equation.3" shapeId="756760" r:id="rId106"/>
    <oleObject progId="Equation.3" shapeId="756982" r:id="rId107"/>
    <oleObject progId="Equation.3" shapeId="756983" r:id="rId108"/>
    <oleObject progId="Equation.3" shapeId="759401" r:id="rId109"/>
    <oleObject progId="Equation.3" shapeId="767129" r:id="rId110"/>
    <oleObject progId="Equation.3" shapeId="767277" r:id="rId111"/>
    <oleObject progId="Equation.3" shapeId="769102" r:id="rId112"/>
    <oleObject progId="Equation.3" shapeId="769103" r:id="rId113"/>
    <oleObject progId="Equation.3" shapeId="769104" r:id="rId114"/>
    <oleObject progId="Equation.3" shapeId="769105" r:id="rId115"/>
    <oleObject progId="Equation.3" shapeId="769106" r:id="rId116"/>
    <oleObject progId="Equation.3" shapeId="769107" r:id="rId117"/>
    <oleObject progId="Equation.3" shapeId="771462" r:id="rId118"/>
    <oleObject progId="Equation.3" shapeId="783856" r:id="rId119"/>
    <oleObject progId="Equation.3" shapeId="784108" r:id="rId120"/>
    <oleObject progId="Equation.3" shapeId="785977" r:id="rId121"/>
    <oleObject progId="Equation.3" shapeId="794222" r:id="rId122"/>
    <oleObject progId="Equation.3" shapeId="794350" r:id="rId123"/>
    <oleObject progId="Equation.3" shapeId="797019" r:id="rId124"/>
    <oleObject progId="Equation.3" shapeId="803505" r:id="rId125"/>
    <oleObject progId="Equation.3" shapeId="803651" r:id="rId126"/>
    <oleObject progId="Equation.3" shapeId="398133" r:id="rId127"/>
    <oleObject progId="Equation.3" shapeId="400381" r:id="rId128"/>
    <oleObject progId="Equation.3" shapeId="400563" r:id="rId129"/>
    <oleObject progId="Equation.3" shapeId="405698" r:id="rId130"/>
    <oleObject progId="Equation.3" shapeId="407445" r:id="rId131"/>
    <oleObject progId="Equation.3" shapeId="407581" r:id="rId13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L51"/>
  <sheetViews>
    <sheetView zoomScale="150" zoomScaleNormal="150" workbookViewId="0" topLeftCell="A27">
      <selection activeCell="M31" sqref="M31"/>
    </sheetView>
  </sheetViews>
  <sheetFormatPr defaultColWidth="11.421875" defaultRowHeight="12.75"/>
  <cols>
    <col min="1" max="12" width="7.28125" style="13" customWidth="1"/>
    <col min="13" max="16384" width="11.57421875" style="13" customWidth="1"/>
  </cols>
  <sheetData>
    <row r="2" spans="1:12" ht="12.75" customHeight="1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5" ht="12">
      <c r="A5" s="25" t="s">
        <v>43</v>
      </c>
    </row>
    <row r="7" spans="1:12" ht="12">
      <c r="A7" s="12" t="s">
        <v>0</v>
      </c>
      <c r="B7" s="15"/>
      <c r="C7" s="26"/>
      <c r="D7" s="15"/>
      <c r="E7" s="15"/>
      <c r="F7" s="26"/>
      <c r="G7" s="15"/>
      <c r="H7" s="15"/>
      <c r="I7" s="15"/>
      <c r="J7" s="15"/>
      <c r="K7" s="15"/>
      <c r="L7" s="15"/>
    </row>
    <row r="8" spans="1:12" ht="12">
      <c r="A8" s="12" t="s">
        <v>5</v>
      </c>
      <c r="B8" s="59" t="s">
        <v>21</v>
      </c>
      <c r="C8" s="60"/>
      <c r="D8" s="14" t="s">
        <v>30</v>
      </c>
      <c r="E8" s="59" t="s">
        <v>31</v>
      </c>
      <c r="F8" s="60"/>
      <c r="G8" s="15"/>
      <c r="H8" s="14" t="s">
        <v>16</v>
      </c>
      <c r="I8" s="14" t="s">
        <v>44</v>
      </c>
      <c r="J8" s="14" t="s">
        <v>40</v>
      </c>
      <c r="K8" s="14" t="s">
        <v>40</v>
      </c>
      <c r="L8" s="14" t="s">
        <v>11</v>
      </c>
    </row>
    <row r="9" spans="1:12" ht="12">
      <c r="A9" s="14">
        <v>1</v>
      </c>
      <c r="B9" s="19">
        <f>Auswertung!K3</f>
        <v>1.168276564095305</v>
      </c>
      <c r="C9" s="29">
        <f>Auswertung!N3</f>
        <v>1.182843197505582</v>
      </c>
      <c r="D9" s="19">
        <f>Auswertung!S3</f>
        <v>1.2730338645856518E-08</v>
      </c>
      <c r="E9" s="19">
        <f>Auswertung!W3</f>
        <v>4.0521926048812115E-07</v>
      </c>
      <c r="F9" s="29">
        <f>Auswertung!X3</f>
        <v>4.1073434494604115E-07</v>
      </c>
      <c r="G9" s="19">
        <f>Auswertung!AH3/100000</f>
        <v>5.2011444746992206E-08</v>
      </c>
      <c r="H9" s="17">
        <f>Auswertung!AQ3</f>
        <v>5429.998999999998</v>
      </c>
      <c r="I9" s="17">
        <f>Auswertung!AU3</f>
        <v>4590.632986224172</v>
      </c>
      <c r="J9" s="17">
        <f>Auswertung!AV3</f>
        <v>6.827444750789643E-05</v>
      </c>
      <c r="K9" s="17">
        <f>Auswertung!Z3</f>
        <v>1178.4251095594827</v>
      </c>
      <c r="L9" s="20">
        <f>Auswertung!AW3*100</f>
        <v>5.793702710002394E-06</v>
      </c>
    </row>
    <row r="10" spans="1:12" ht="12">
      <c r="A10" s="14">
        <v>2</v>
      </c>
      <c r="B10" s="19">
        <f>Auswertung!K4</f>
        <v>1.168230785167616</v>
      </c>
      <c r="C10" s="29">
        <f>Auswertung!N4</f>
        <v>1.183217688845363</v>
      </c>
      <c r="D10" s="19">
        <f>Auswertung!S4</f>
        <v>0.08051704377053874</v>
      </c>
      <c r="E10" s="19">
        <f>Auswertung!W4</f>
        <v>2.562939295324049</v>
      </c>
      <c r="F10" s="29">
        <f>Auswertung!X4</f>
        <v>2.5959919354363654</v>
      </c>
      <c r="G10" s="19">
        <f>Auswertung!AH4/100000</f>
        <v>0.3289499038849373</v>
      </c>
      <c r="H10" s="17">
        <f>Auswertung!AQ4</f>
        <v>5508.793224620308</v>
      </c>
      <c r="I10" s="17">
        <f>Auswertung!AU4</f>
        <v>4655.773216166195</v>
      </c>
      <c r="J10" s="17">
        <f>Auswertung!AV4</f>
        <v>437.93361815860595</v>
      </c>
      <c r="K10" s="17">
        <f>Auswertung!Z4</f>
        <v>1594.3398541098882</v>
      </c>
      <c r="L10" s="20">
        <f>Auswertung!AW4*100</f>
        <v>27.46802176648228</v>
      </c>
    </row>
    <row r="11" spans="1:12" ht="12">
      <c r="A11" s="14">
        <v>3</v>
      </c>
      <c r="B11" s="19">
        <f>Auswertung!K5</f>
        <v>1.1681277825803154</v>
      </c>
      <c r="C11" s="29">
        <f>Auswertung!N5</f>
        <v>1.1827450409593665</v>
      </c>
      <c r="D11" s="19">
        <f>Auswertung!S5</f>
        <v>0.1451676033506878</v>
      </c>
      <c r="E11" s="19">
        <f>Auswertung!W5</f>
        <v>4.620887433426445</v>
      </c>
      <c r="F11" s="29">
        <f>Auswertung!X5</f>
        <v>4.6832492742049885</v>
      </c>
      <c r="G11" s="19">
        <f>Auswertung!AH5/100000</f>
        <v>0.593025483500606</v>
      </c>
      <c r="H11" s="17">
        <f>Auswertung!AQ5</f>
        <v>5627.220299344431</v>
      </c>
      <c r="I11" s="17">
        <f>Auswertung!AU5</f>
        <v>4757.762750609372</v>
      </c>
      <c r="J11" s="17">
        <f>Auswertung!AV5</f>
        <v>806.7943384545333</v>
      </c>
      <c r="K11" s="17">
        <f>Auswertung!Z5</f>
        <v>1968.663124205253</v>
      </c>
      <c r="L11" s="20">
        <f>Auswertung!AW5*100</f>
        <v>40.98183831122631</v>
      </c>
    </row>
    <row r="12" spans="1:12" ht="12">
      <c r="A12" s="14">
        <v>4</v>
      </c>
      <c r="B12" s="19">
        <f>Auswertung!K6</f>
        <v>1.16789888794187</v>
      </c>
      <c r="C12" s="29">
        <f>Auswertung!N6</f>
        <v>1.1839910250854986</v>
      </c>
      <c r="D12" s="19">
        <f>Auswertung!S6</f>
        <v>0.23133659984401334</v>
      </c>
      <c r="E12" s="19">
        <f>Auswertung!W6</f>
        <v>7.364019590275931</v>
      </c>
      <c r="F12" s="29">
        <f>Auswertung!X6</f>
        <v>7.4445174730989665</v>
      </c>
      <c r="G12" s="19">
        <f>Auswertung!AH6/100000</f>
        <v>0.9448500472672657</v>
      </c>
      <c r="H12" s="17">
        <f>Auswertung!AQ6</f>
        <v>5734.472823009046</v>
      </c>
      <c r="I12" s="17">
        <f>Auswertung!AU6</f>
        <v>4843.34146248697</v>
      </c>
      <c r="J12" s="17">
        <f>Auswertung!AV6</f>
        <v>1308.5631361008523</v>
      </c>
      <c r="K12" s="17">
        <f>Auswertung!Z6</f>
        <v>2495.488467302434</v>
      </c>
      <c r="L12" s="20">
        <f>Auswertung!AW6*100</f>
        <v>52.43715421836348</v>
      </c>
    </row>
    <row r="13" spans="1:12" ht="12">
      <c r="A13" s="14">
        <v>5</v>
      </c>
      <c r="B13" s="19">
        <f>Auswertung!K7</f>
        <v>1.1674182092011347</v>
      </c>
      <c r="C13" s="29">
        <f>Auswertung!N7</f>
        <v>1.1848048484387472</v>
      </c>
      <c r="D13" s="19">
        <f>Auswertung!S7</f>
        <v>0.34890376037221704</v>
      </c>
      <c r="E13" s="19">
        <f>Auswertung!W7</f>
        <v>11.10735375866455</v>
      </c>
      <c r="F13" s="29">
        <f>Auswertung!X7</f>
        <v>11.20271903186998</v>
      </c>
      <c r="G13" s="19">
        <f>Auswertung!AH7/100000</f>
        <v>1.4244440955727113</v>
      </c>
      <c r="H13" s="17">
        <f>Auswertung!AQ7</f>
        <v>5825.201548142894</v>
      </c>
      <c r="I13" s="17">
        <f>Auswertung!AU7</f>
        <v>4916.591585372846</v>
      </c>
      <c r="J13" s="17">
        <f>Auswertung!AV7</f>
        <v>2002.6093834690475</v>
      </c>
      <c r="K13" s="17">
        <f>Auswertung!Z7</f>
        <v>3216.4073578564703</v>
      </c>
      <c r="L13" s="20">
        <f>Auswertung!AW7*100</f>
        <v>62.262305754817646</v>
      </c>
    </row>
    <row r="14" spans="1:12" ht="12">
      <c r="A14" s="14">
        <v>6</v>
      </c>
      <c r="B14" s="19">
        <f>Auswertung!K8</f>
        <v>1.1666857463581093</v>
      </c>
      <c r="C14" s="29">
        <f>Auswertung!N8</f>
        <v>1.1859216411437816</v>
      </c>
      <c r="D14" s="19">
        <f>Auswertung!S8</f>
        <v>0.47530061338588553</v>
      </c>
      <c r="E14" s="19">
        <f>Auswertung!W8</f>
        <v>15.132317224636319</v>
      </c>
      <c r="F14" s="29">
        <f>Auswertung!X8</f>
        <v>15.212917707861118</v>
      </c>
      <c r="G14" s="19">
        <f>Auswertung!AH8/100000</f>
        <v>1.9392578714914528</v>
      </c>
      <c r="H14" s="17">
        <f>Auswertung!AQ8</f>
        <v>5839.07024078486</v>
      </c>
      <c r="I14" s="17">
        <f>Auswertung!AU8</f>
        <v>4923.656031062283</v>
      </c>
      <c r="J14" s="17">
        <f>Auswertung!AV8</f>
        <v>2730.297504222336</v>
      </c>
      <c r="K14" s="17">
        <f>Auswertung!Z8</f>
        <v>3965.0538980472006</v>
      </c>
      <c r="L14" s="20">
        <f>Auswertung!AW8*100</f>
        <v>68.85902624342673</v>
      </c>
    </row>
    <row r="15" spans="1:12" ht="12">
      <c r="A15" s="14">
        <v>7</v>
      </c>
      <c r="B15" s="19">
        <f>Auswertung!K9</f>
        <v>1.165243710135903</v>
      </c>
      <c r="C15" s="29">
        <f>Auswertung!N9</f>
        <v>1.185390077933115</v>
      </c>
      <c r="D15" s="19">
        <f>Auswertung!S9</f>
        <v>0.6571234829204617</v>
      </c>
      <c r="E15" s="19">
        <f>Auswertung!W9</f>
        <v>20.92416834936237</v>
      </c>
      <c r="F15" s="29">
        <f>Auswertung!X9</f>
        <v>20.99692187852364</v>
      </c>
      <c r="G15" s="19">
        <f>Auswertung!AH9/100000</f>
        <v>2.6777933016132116</v>
      </c>
      <c r="H15" s="17">
        <f>Auswertung!AQ9</f>
        <v>5713.177838672533</v>
      </c>
      <c r="I15" s="17">
        <f>Auswertung!AU9</f>
        <v>4819.660586862864</v>
      </c>
      <c r="J15" s="17">
        <f>Auswertung!AV9</f>
        <v>3690.4575136367007</v>
      </c>
      <c r="K15" s="17">
        <f>Auswertung!Z9</f>
        <v>4921.657810513133</v>
      </c>
      <c r="L15" s="20">
        <f>Auswertung!AW9*100</f>
        <v>74.98403293608771</v>
      </c>
    </row>
    <row r="16" spans="1:12" ht="12">
      <c r="A16" s="14">
        <v>8</v>
      </c>
      <c r="B16" s="19">
        <f>Auswertung!K10</f>
        <v>1.1630348768749044</v>
      </c>
      <c r="C16" s="29">
        <f>Auswertung!N10</f>
        <v>1.1805574258691471</v>
      </c>
      <c r="D16" s="19">
        <f>Auswertung!S10</f>
        <v>0.8656045621977736</v>
      </c>
      <c r="E16" s="19">
        <f>Auswertung!W10</f>
        <v>27.56906627073346</v>
      </c>
      <c r="F16" s="29">
        <f>Auswertung!X10</f>
        <v>27.771530130883068</v>
      </c>
      <c r="G16" s="19">
        <f>Auswertung!AH10/100000</f>
        <v>3.520672040568214</v>
      </c>
      <c r="H16" s="17">
        <f>Auswertung!AQ10</f>
        <v>5176.424195764733</v>
      </c>
      <c r="I16" s="17">
        <f>Auswertung!AU10</f>
        <v>4384.7288427784515</v>
      </c>
      <c r="J16" s="17">
        <f>Auswertung!AV10</f>
        <v>4414.230593760679</v>
      </c>
      <c r="K16" s="17">
        <f>Auswertung!Z10</f>
        <v>6030.763795980882</v>
      </c>
      <c r="L16" s="20">
        <f>Auswertung!AW10*100</f>
        <v>73.19521611346279</v>
      </c>
    </row>
    <row r="17" spans="1:12" ht="12">
      <c r="A17" s="14">
        <v>9</v>
      </c>
      <c r="B17" s="19">
        <f>Auswertung!K11</f>
        <v>1.1599791334516576</v>
      </c>
      <c r="C17" s="29">
        <f>Auswertung!N11</f>
        <v>1.1724964934218018</v>
      </c>
      <c r="D17" s="19">
        <f>Auswertung!S11</f>
        <v>1.092068459712121</v>
      </c>
      <c r="E17" s="19">
        <f>Auswertung!W11</f>
        <v>34.79265517362782</v>
      </c>
      <c r="F17" s="29">
        <f>Auswertung!X11</f>
        <v>35.31959934866833</v>
      </c>
      <c r="G17" s="19">
        <f>Auswertung!AH11/100000</f>
        <v>4.430098038941326</v>
      </c>
      <c r="H17" s="17">
        <f>Auswertung!AQ11</f>
        <v>4266.446799036924</v>
      </c>
      <c r="I17" s="17">
        <f>Auswertung!AU11</f>
        <v>3638.7714786129286</v>
      </c>
      <c r="J17" s="17">
        <f>Auswertung!AV11</f>
        <v>4609.510654885829</v>
      </c>
      <c r="K17" s="17">
        <f>Auswertung!Z11</f>
        <v>7126.0059566302825</v>
      </c>
      <c r="L17" s="20">
        <f>Auswertung!AW11*100</f>
        <v>64.68575360362955</v>
      </c>
    </row>
    <row r="18" spans="1:12" ht="12">
      <c r="A18" s="14">
        <v>10</v>
      </c>
      <c r="B18" s="19">
        <f>Auswertung!K12</f>
        <v>1.1560307009384738</v>
      </c>
      <c r="C18" s="29">
        <f>Auswertung!N12</f>
        <v>1.1606776454667407</v>
      </c>
      <c r="D18" s="19">
        <f>Auswertung!S12</f>
        <v>1.3314245270131804</v>
      </c>
      <c r="E18" s="19">
        <f>Auswertung!W12</f>
        <v>42.43630161943976</v>
      </c>
      <c r="F18" s="29">
        <f>Auswertung!X12</f>
        <v>43.62060345444539</v>
      </c>
      <c r="G18" s="19">
        <f>Auswertung!AH12/100000</f>
        <v>5.382688122077805</v>
      </c>
      <c r="H18" s="17">
        <f>Auswertung!AQ12</f>
        <v>3092.023783675709</v>
      </c>
      <c r="I18" s="17">
        <f>Auswertung!AU12</f>
        <v>2663.981507485931</v>
      </c>
      <c r="J18" s="17">
        <f>Auswertung!AV12</f>
        <v>4100.314101135665</v>
      </c>
      <c r="K18" s="17">
        <f>Auswertung!Z12</f>
        <v>8387.614015099847</v>
      </c>
      <c r="L18" s="20">
        <f>Auswertung!AW12*100</f>
        <v>48.8853456269453</v>
      </c>
    </row>
    <row r="19" spans="1:12" ht="12">
      <c r="A19" s="14">
        <v>11</v>
      </c>
      <c r="B19" s="19">
        <f>Auswertung!K13</f>
        <v>1.152974957515227</v>
      </c>
      <c r="C19" s="29">
        <f>Auswertung!N13</f>
        <v>1.1498793668120544</v>
      </c>
      <c r="D19" s="19">
        <f>Auswertung!S13</f>
        <v>1.4924021180300207</v>
      </c>
      <c r="E19" s="19">
        <f>Auswertung!W13</f>
        <v>47.581636255862705</v>
      </c>
      <c r="F19" s="29">
        <f>Auswertung!X13</f>
        <v>49.5377600066694</v>
      </c>
      <c r="G19" s="19">
        <f>Auswertung!AH13/100000</f>
        <v>6.0175405766229275</v>
      </c>
      <c r="H19" s="17">
        <f>Auswertung!AQ13</f>
        <v>1913.357029257604</v>
      </c>
      <c r="I19" s="17">
        <f>Auswertung!AU13</f>
        <v>1663.9632682184988</v>
      </c>
      <c r="J19" s="17">
        <f>Auswertung!AV13</f>
        <v>2863.18537054272</v>
      </c>
      <c r="K19" s="17">
        <f>Auswertung!Z13</f>
        <v>9080.805256017187</v>
      </c>
      <c r="L19" s="20">
        <f>Auswertung!AW13*100</f>
        <v>31.5300822979933</v>
      </c>
    </row>
    <row r="21" ht="12">
      <c r="A21" s="28" t="s">
        <v>69</v>
      </c>
    </row>
    <row r="23" spans="1:12" ht="12">
      <c r="A23" s="12" t="s">
        <v>0</v>
      </c>
      <c r="B23" s="15"/>
      <c r="C23" s="26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">
      <c r="A24" s="12" t="s">
        <v>5</v>
      </c>
      <c r="B24" s="59" t="s">
        <v>21</v>
      </c>
      <c r="C24" s="60"/>
      <c r="D24" s="14" t="s">
        <v>30</v>
      </c>
      <c r="E24" s="59" t="s">
        <v>31</v>
      </c>
      <c r="F24" s="60"/>
      <c r="G24" s="15"/>
      <c r="H24" s="14" t="s">
        <v>16</v>
      </c>
      <c r="I24" s="14" t="s">
        <v>44</v>
      </c>
      <c r="J24" s="14" t="s">
        <v>40</v>
      </c>
      <c r="K24" s="14" t="s">
        <v>40</v>
      </c>
      <c r="L24" s="14" t="s">
        <v>11</v>
      </c>
    </row>
    <row r="25" spans="1:12" ht="12">
      <c r="A25" s="14">
        <v>1</v>
      </c>
      <c r="B25" s="19">
        <f>Auswertung!K17</f>
        <v>1.168276564095305</v>
      </c>
      <c r="C25" s="29">
        <f>Auswertung!N17</f>
        <v>1.1743055467138577</v>
      </c>
      <c r="D25" s="19">
        <f>Auswertung!S17</f>
        <v>1.2730338645856518E-08</v>
      </c>
      <c r="E25" s="19">
        <f>Auswertung!W17</f>
        <v>4.0521926048812115E-07</v>
      </c>
      <c r="F25" s="19">
        <f>Auswertung!X17</f>
        <v>4.1667623066219297E-07</v>
      </c>
      <c r="G25" s="19">
        <f>Auswertung!AH17/100000</f>
        <v>5.2011444746992206E-08</v>
      </c>
      <c r="H25" s="17">
        <f>Auswertung!AQ17</f>
        <v>4779.998999999998</v>
      </c>
      <c r="I25" s="17">
        <f>Auswertung!AU17</f>
        <v>4070.490012906954</v>
      </c>
      <c r="J25" s="17">
        <f>Auswertung!AV17</f>
        <v>6.053859185685323E-05</v>
      </c>
      <c r="K25" s="17">
        <f>Auswertung!Z17</f>
        <v>982.0209246329022</v>
      </c>
      <c r="L25" s="20">
        <f>Auswertung!AW17*100</f>
        <v>6.164694696244247E-06</v>
      </c>
    </row>
    <row r="26" spans="1:12" ht="12">
      <c r="A26" s="14">
        <v>2</v>
      </c>
      <c r="B26" s="19">
        <f>Auswertung!K18</f>
        <v>1.168230785167616</v>
      </c>
      <c r="C26" s="29">
        <f>Auswertung!N18</f>
        <v>1.1747954032010626</v>
      </c>
      <c r="D26" s="19">
        <f>Auswertung!S18</f>
        <v>0.08051704377053874</v>
      </c>
      <c r="E26" s="19">
        <f>Auswertung!W18</f>
        <v>2.5629136395056027</v>
      </c>
      <c r="F26" s="19">
        <f>Auswertung!X18</f>
        <v>2.6330332482756047</v>
      </c>
      <c r="G26" s="19">
        <f>Auswertung!AH18/100000</f>
        <v>0.3289499038849374</v>
      </c>
      <c r="H26" s="17">
        <f>Auswertung!AQ18</f>
        <v>4877.9110170567055</v>
      </c>
      <c r="I26" s="17">
        <f>Auswertung!AU18</f>
        <v>4152.136622058153</v>
      </c>
      <c r="J26" s="17">
        <f>Auswertung!AV18</f>
        <v>390.5603064326469</v>
      </c>
      <c r="K26" s="17">
        <f>Auswertung!Z18</f>
        <v>1309.3612328438696</v>
      </c>
      <c r="L26" s="20">
        <f>Auswertung!AW18*100</f>
        <v>29.82830838701163</v>
      </c>
    </row>
    <row r="27" spans="1:12" ht="12">
      <c r="A27" s="27">
        <v>3</v>
      </c>
      <c r="B27" s="19">
        <f>Auswertung!K19</f>
        <v>1.1681621167760823</v>
      </c>
      <c r="C27" s="29">
        <f>Auswertung!N19</f>
        <v>1.1761634954267888</v>
      </c>
      <c r="D27" s="19">
        <f>Auswertung!S19</f>
        <v>0.12731648176163</v>
      </c>
      <c r="E27" s="19">
        <f>Auswertung!W19</f>
        <v>4.0526587167364045</v>
      </c>
      <c r="F27" s="19">
        <f>Auswertung!X19</f>
        <v>4.153254849889765</v>
      </c>
      <c r="G27" s="19">
        <f>Auswertung!AH19/100000</f>
        <v>0.520116993059478</v>
      </c>
      <c r="H27" s="17">
        <f>Auswertung!AQ19</f>
        <v>4971.850773504811</v>
      </c>
      <c r="I27" s="17">
        <f>Auswertung!AU19</f>
        <v>4227.176572675978</v>
      </c>
      <c r="J27" s="17">
        <f>Auswertung!AV19</f>
        <v>628.6922923593365</v>
      </c>
      <c r="K27" s="17">
        <f>Auswertung!Z19</f>
        <v>1597.4207040695208</v>
      </c>
      <c r="L27" s="20">
        <f>Auswertung!AW19*100</f>
        <v>39.35671365456244</v>
      </c>
    </row>
    <row r="28" spans="1:12" ht="12">
      <c r="A28" s="27">
        <v>4</v>
      </c>
      <c r="B28" s="19">
        <f>Auswertung!K20</f>
        <v>1.167944666869559</v>
      </c>
      <c r="C28" s="29">
        <f>Auswertung!N20</f>
        <v>1.1785444014555544</v>
      </c>
      <c r="D28" s="19">
        <f>Auswertung!S20</f>
        <v>0.21685453426569254</v>
      </c>
      <c r="E28" s="19">
        <f>Auswertung!W20</f>
        <v>6.902944369928958</v>
      </c>
      <c r="F28" s="19">
        <f>Auswertung!X20</f>
        <v>7.043021792049061</v>
      </c>
      <c r="G28" s="19">
        <f>Auswertung!AH20/100000</f>
        <v>0.8857355407604031</v>
      </c>
      <c r="H28" s="17">
        <f>Auswertung!AQ20</f>
        <v>5107.454272079174</v>
      </c>
      <c r="I28" s="17">
        <f>Auswertung!AU20</f>
        <v>4333.69694495281</v>
      </c>
      <c r="J28" s="17">
        <f>Auswertung!AV20</f>
        <v>1097.6131794602588</v>
      </c>
      <c r="K28" s="17">
        <f>Auswertung!Z20</f>
        <v>2068.790747893314</v>
      </c>
      <c r="L28" s="20">
        <f>Auswertung!AW20*100</f>
        <v>53.055785394341</v>
      </c>
    </row>
    <row r="29" spans="1:12" ht="12">
      <c r="A29" s="27">
        <v>5</v>
      </c>
      <c r="B29" s="19">
        <f>Auswertung!K21</f>
        <v>1.1675097670565129</v>
      </c>
      <c r="C29" s="29">
        <f>Auswertung!N21</f>
        <v>1.1812253718329997</v>
      </c>
      <c r="D29" s="19">
        <f>Auswertung!S21</f>
        <v>0.32974382975874345</v>
      </c>
      <c r="E29" s="19">
        <f>Auswertung!W21</f>
        <v>10.497063685092167</v>
      </c>
      <c r="F29" s="19">
        <f>Auswertung!X21</f>
        <v>10.65292520176766</v>
      </c>
      <c r="G29" s="19">
        <f>Auswertung!AH21/100000</f>
        <v>1.3463268164332909</v>
      </c>
      <c r="H29" s="17">
        <f>Auswertung!AQ21</f>
        <v>5171.377086957171</v>
      </c>
      <c r="I29" s="17">
        <f>Auswertung!AU21</f>
        <v>4377.976642113893</v>
      </c>
      <c r="J29" s="17">
        <f>Auswertung!AV21</f>
        <v>1685.429690807705</v>
      </c>
      <c r="K29" s="17">
        <f>Auswertung!Z21</f>
        <v>2684.190527329932</v>
      </c>
      <c r="L29" s="20">
        <f>Auswertung!AW21*100</f>
        <v>62.79098572351594</v>
      </c>
    </row>
    <row r="30" spans="1:12" ht="12">
      <c r="A30" s="27">
        <v>6</v>
      </c>
      <c r="B30" s="19">
        <f>Auswertung!K22</f>
        <v>1.1668345278730987</v>
      </c>
      <c r="C30" s="29">
        <f>Auswertung!N22</f>
        <v>1.1824335046519558</v>
      </c>
      <c r="D30" s="19">
        <f>Auswertung!S22</f>
        <v>0.4524683018017783</v>
      </c>
      <c r="E30" s="19">
        <f>Auswertung!W22</f>
        <v>14.405067418964459</v>
      </c>
      <c r="F30" s="19">
        <f>Auswertung!X22</f>
        <v>14.570419703681324</v>
      </c>
      <c r="G30" s="19">
        <f>Auswertung!AH22/100000</f>
        <v>1.8463359571783198</v>
      </c>
      <c r="H30" s="17">
        <f>Auswertung!AQ22</f>
        <v>5195.16174539226</v>
      </c>
      <c r="I30" s="17">
        <f>Auswertung!AU22</f>
        <v>4393.618520579246</v>
      </c>
      <c r="J30" s="17">
        <f>Auswertung!AV22</f>
        <v>2319.635666131284</v>
      </c>
      <c r="K30" s="17">
        <f>Auswertung!Z22</f>
        <v>3338.871143751867</v>
      </c>
      <c r="L30" s="20">
        <f>Auswertung!AW22*100</f>
        <v>69.47365041241828</v>
      </c>
    </row>
    <row r="31" spans="1:12" ht="12">
      <c r="A31" s="27">
        <v>7</v>
      </c>
      <c r="B31" s="19">
        <f>Auswertung!K23</f>
        <v>1.1656213862893379</v>
      </c>
      <c r="C31" s="29">
        <f>Auswertung!N23</f>
        <v>1.1823050694888977</v>
      </c>
      <c r="D31" s="19">
        <f>Auswertung!S23</f>
        <v>0.6146396287005711</v>
      </c>
      <c r="E31" s="19">
        <f>Auswertung!W23</f>
        <v>19.570861261416052</v>
      </c>
      <c r="F31" s="19">
        <f>Auswertung!X23</f>
        <v>19.75358083712328</v>
      </c>
      <c r="G31" s="19">
        <f>Auswertung!AH23/100000</f>
        <v>2.5054824270409077</v>
      </c>
      <c r="H31" s="17">
        <f>Auswertung!AQ23</f>
        <v>5098.049349867599</v>
      </c>
      <c r="I31" s="17">
        <f>Auswertung!AU23</f>
        <v>4311.957616887704</v>
      </c>
      <c r="J31" s="17">
        <f>Auswertung!AV23</f>
        <v>3089.2463934385873</v>
      </c>
      <c r="K31" s="17">
        <f>Auswertung!Z23</f>
        <v>4085.2070464728727</v>
      </c>
      <c r="L31" s="20">
        <f>Auswertung!AW23*100</f>
        <v>75.62031393502593</v>
      </c>
    </row>
    <row r="32" spans="1:12" ht="12">
      <c r="A32" s="27">
        <v>8</v>
      </c>
      <c r="B32" s="19">
        <f>Auswertung!K24</f>
        <v>1.163607113471018</v>
      </c>
      <c r="C32" s="29">
        <f>Auswertung!N24</f>
        <v>1.176981376014126</v>
      </c>
      <c r="D32" s="19">
        <f>Auswertung!S24</f>
        <v>0.8165698479447044</v>
      </c>
      <c r="E32" s="19">
        <f>Auswertung!W24</f>
        <v>26.006002762962307</v>
      </c>
      <c r="F32" s="19">
        <f>Auswertung!X24</f>
        <v>26.382523783701597</v>
      </c>
      <c r="G32" s="19">
        <f>Auswertung!AH24/100000</f>
        <v>3.3228673399998345</v>
      </c>
      <c r="H32" s="17">
        <f>Auswertung!AQ24</f>
        <v>4609.931948741075</v>
      </c>
      <c r="I32" s="17">
        <f>Auswertung!AU24</f>
        <v>3916.7416262377183</v>
      </c>
      <c r="J32" s="17">
        <f>Auswertung!AV24</f>
        <v>3721.5566186201354</v>
      </c>
      <c r="K32" s="17">
        <f>Auswertung!Z24</f>
        <v>5054.134358777336</v>
      </c>
      <c r="L32" s="20">
        <f>Auswertung!AW24*100</f>
        <v>73.63390749905648</v>
      </c>
    </row>
    <row r="33" spans="1:12" ht="12">
      <c r="A33" s="27">
        <v>9</v>
      </c>
      <c r="B33" s="19">
        <f>Auswertung!K25</f>
        <v>1.1609290462012063</v>
      </c>
      <c r="C33" s="29">
        <f>Auswertung!N25</f>
        <v>1.1701165632366997</v>
      </c>
      <c r="D33" s="19">
        <f>Auswertung!S25</f>
        <v>1.0267793397215388</v>
      </c>
      <c r="E33" s="19">
        <f>Auswertung!W25</f>
        <v>32.709995237813985</v>
      </c>
      <c r="F33" s="19">
        <f>Auswertung!X25</f>
        <v>33.3985615753096</v>
      </c>
      <c r="G33" s="19">
        <f>Auswertung!AH25/100000</f>
        <v>4.168656350521774</v>
      </c>
      <c r="H33" s="17">
        <f>Auswertung!AQ25</f>
        <v>3829.7770687883326</v>
      </c>
      <c r="I33" s="17">
        <f>Auswertung!AU25</f>
        <v>3272.9876570541437</v>
      </c>
      <c r="J33" s="17">
        <f>Auswertung!AV25</f>
        <v>3901.4600685024716</v>
      </c>
      <c r="K33" s="17">
        <f>Auswertung!Z25</f>
        <v>5957.593609439607</v>
      </c>
      <c r="L33" s="20">
        <f>Auswertung!AW25*100</f>
        <v>65.4871802991184</v>
      </c>
    </row>
    <row r="34" spans="1:12" ht="12">
      <c r="A34" s="27">
        <v>10</v>
      </c>
      <c r="B34" s="19">
        <f>Auswertung!K26</f>
        <v>1.1572896214499238</v>
      </c>
      <c r="C34" s="29">
        <f>Auswertung!N26</f>
        <v>1.1603559808275972</v>
      </c>
      <c r="D34" s="19">
        <f>Auswertung!S26</f>
        <v>1.259702353534999</v>
      </c>
      <c r="E34" s="19">
        <f>Auswertung!W26</f>
        <v>40.14442522565884</v>
      </c>
      <c r="F34" s="19">
        <f>Auswertung!X26</f>
        <v>41.389187183969916</v>
      </c>
      <c r="G34" s="19">
        <f>Auswertung!AH26/100000</f>
        <v>5.098275443340246</v>
      </c>
      <c r="H34" s="17">
        <f>Auswertung!AQ26</f>
        <v>2764.689569525084</v>
      </c>
      <c r="I34" s="17">
        <f>Auswertung!AU26</f>
        <v>2382.62189811202</v>
      </c>
      <c r="J34" s="17">
        <f>Auswertung!AV26</f>
        <v>3473.48260362113</v>
      </c>
      <c r="K34" s="17">
        <f>Auswertung!Z26</f>
        <v>7070.550657356896</v>
      </c>
      <c r="L34" s="20">
        <f>Auswertung!AW26*100</f>
        <v>49.126054984232056</v>
      </c>
    </row>
    <row r="35" spans="1:12" ht="12">
      <c r="A35" s="27">
        <v>11</v>
      </c>
      <c r="B35" s="19">
        <f>Auswertung!K27</f>
        <v>1.1546001094481897</v>
      </c>
      <c r="C35" s="29">
        <f>Auswertung!N27</f>
        <v>1.1507798402398355</v>
      </c>
      <c r="D35" s="19">
        <f>Auswertung!S27</f>
        <v>1.4088612484493723</v>
      </c>
      <c r="E35" s="19">
        <f>Auswertung!W27</f>
        <v>44.91118589116926</v>
      </c>
      <c r="F35" s="19">
        <f>Auswertung!X27</f>
        <v>46.83067866947382</v>
      </c>
      <c r="G35" s="19">
        <f>Auswertung!AH27/100000</f>
        <v>5.688701085523614</v>
      </c>
      <c r="H35" s="17">
        <f>Auswertung!AQ27</f>
        <v>1718.6626930022535</v>
      </c>
      <c r="I35" s="17">
        <f>Auswertung!AU27</f>
        <v>1493.476539043354</v>
      </c>
      <c r="J35" s="17">
        <f>Auswertung!AV27</f>
        <v>2429.3955004336094</v>
      </c>
      <c r="K35" s="17">
        <f>Auswertung!Z27</f>
        <v>7620.482375151321</v>
      </c>
      <c r="L35" s="20">
        <f>Auswertung!AW27*100</f>
        <v>31.879812600253782</v>
      </c>
    </row>
    <row r="36" spans="2:3" ht="12">
      <c r="B36" s="30"/>
      <c r="C36" s="30"/>
    </row>
    <row r="37" spans="1:3" ht="12">
      <c r="A37" s="28" t="s">
        <v>70</v>
      </c>
      <c r="B37" s="30"/>
      <c r="C37" s="30"/>
    </row>
    <row r="39" spans="1:12" ht="12">
      <c r="A39" s="12" t="s">
        <v>0</v>
      </c>
      <c r="B39" s="15"/>
      <c r="C39" s="26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">
      <c r="A40" s="12" t="s">
        <v>5</v>
      </c>
      <c r="B40" s="59" t="s">
        <v>21</v>
      </c>
      <c r="C40" s="60"/>
      <c r="D40" s="14" t="s">
        <v>30</v>
      </c>
      <c r="E40" s="59" t="s">
        <v>31</v>
      </c>
      <c r="F40" s="60"/>
      <c r="G40" s="15"/>
      <c r="H40" s="14" t="s">
        <v>16</v>
      </c>
      <c r="I40" s="14" t="s">
        <v>44</v>
      </c>
      <c r="J40" s="14" t="s">
        <v>40</v>
      </c>
      <c r="K40" s="14" t="s">
        <v>40</v>
      </c>
      <c r="L40" s="14" t="s">
        <v>11</v>
      </c>
    </row>
    <row r="41" spans="1:12" ht="12">
      <c r="A41" s="14">
        <v>1</v>
      </c>
      <c r="B41" s="19">
        <f>Auswertung!K31</f>
        <v>1.168276564095305</v>
      </c>
      <c r="C41" s="29">
        <f>Auswertung!N31</f>
        <v>1.1763633380452554</v>
      </c>
      <c r="D41" s="19">
        <f>Auswertung!S31</f>
        <v>1.2730338645856518E-08</v>
      </c>
      <c r="E41" s="19">
        <f>Auswertung!W31</f>
        <v>4.0521926048812115E-07</v>
      </c>
      <c r="F41" s="19">
        <f>Auswertung!X31</f>
        <v>4.152284149454508E-07</v>
      </c>
      <c r="G41" s="19">
        <f>Auswertung!AH31/100000</f>
        <v>5.2011444746992206E-08</v>
      </c>
      <c r="H41" s="17">
        <f>Auswertung!AQ31</f>
        <v>4289.998999999998</v>
      </c>
      <c r="I41" s="17">
        <f>Auswertung!AU31</f>
        <v>3646.8316048752613</v>
      </c>
      <c r="J41" s="17">
        <f>Auswertung!AV31</f>
        <v>5.423770833441991E-05</v>
      </c>
      <c r="K41" s="17">
        <f>Auswertung!Z31</f>
        <v>801.020989504485</v>
      </c>
      <c r="L41" s="20">
        <f>Auswertung!AW31*100</f>
        <v>6.7710720499311255E-06</v>
      </c>
    </row>
    <row r="42" spans="1:12" ht="12">
      <c r="A42" s="14">
        <v>2</v>
      </c>
      <c r="B42" s="19">
        <f>Auswertung!K32</f>
        <v>1.1682422298995383</v>
      </c>
      <c r="C42" s="29">
        <f>Auswertung!N32</f>
        <v>1.1767436766150867</v>
      </c>
      <c r="D42" s="19">
        <f>Auswertung!S32</f>
        <v>0.06972908809667198</v>
      </c>
      <c r="E42" s="19">
        <f>Auswertung!W32</f>
        <v>2.2195472329532677</v>
      </c>
      <c r="F42" s="19">
        <f>Auswertung!X32</f>
        <v>2.272776071503448</v>
      </c>
      <c r="G42" s="19">
        <f>Auswertung!AH32/100000</f>
        <v>0.2848788338763141</v>
      </c>
      <c r="H42" s="17">
        <f>Auswertung!AQ32</f>
        <v>4366.773288536527</v>
      </c>
      <c r="I42" s="17">
        <f>Auswertung!AU32</f>
        <v>3710.895903088757</v>
      </c>
      <c r="J42" s="17">
        <f>Auswertung!AV32</f>
        <v>302.2913071937975</v>
      </c>
      <c r="K42" s="17">
        <f>Auswertung!Z32</f>
        <v>1109.1059854677483</v>
      </c>
      <c r="L42" s="20">
        <f>Auswertung!AW32*100</f>
        <v>27.255403104358038</v>
      </c>
    </row>
    <row r="43" spans="1:12" ht="12">
      <c r="A43" s="27">
        <v>3</v>
      </c>
      <c r="B43" s="19">
        <f>Auswertung!K33</f>
        <v>1.1681621167760823</v>
      </c>
      <c r="C43" s="29">
        <f>Auswertung!N33</f>
        <v>1.1770606803584203</v>
      </c>
      <c r="D43" s="19">
        <f>Auswertung!S33</f>
        <v>0.12731648176163</v>
      </c>
      <c r="E43" s="19">
        <f>Auswertung!W33</f>
        <v>4.0526587167364045</v>
      </c>
      <c r="F43" s="19">
        <f>Auswertung!X33</f>
        <v>4.146971003124847</v>
      </c>
      <c r="G43" s="19">
        <f>Auswertung!AH33/100000</f>
        <v>0.520116993059478</v>
      </c>
      <c r="H43" s="17">
        <f>Auswertung!AQ33</f>
        <v>4445.818620430313</v>
      </c>
      <c r="I43" s="17">
        <f>Auswertung!AU33</f>
        <v>3777.051340357866</v>
      </c>
      <c r="J43" s="17">
        <f>Auswertung!AV33</f>
        <v>561.746836145354</v>
      </c>
      <c r="K43" s="17">
        <f>Auswertung!Z33</f>
        <v>1355.5739822383591</v>
      </c>
      <c r="L43" s="20">
        <f>Auswertung!AW33*100</f>
        <v>41.439777061653466</v>
      </c>
    </row>
    <row r="44" spans="1:12" ht="12">
      <c r="A44" s="27">
        <v>4</v>
      </c>
      <c r="B44" s="19">
        <f>Auswertung!K34</f>
        <v>1.167990445797248</v>
      </c>
      <c r="C44" s="29">
        <f>Auswertung!N34</f>
        <v>1.1782549357114793</v>
      </c>
      <c r="D44" s="19">
        <f>Auswertung!S34</f>
        <v>0.2013360959709711</v>
      </c>
      <c r="E44" s="19">
        <f>Auswertung!W34</f>
        <v>6.408953745020182</v>
      </c>
      <c r="F44" s="19">
        <f>Auswertung!X34</f>
        <v>6.542711361044817</v>
      </c>
      <c r="G44" s="19">
        <f>Auswertung!AH34/100000</f>
        <v>0.8223831994693275</v>
      </c>
      <c r="H44" s="17">
        <f>Auswertung!AQ34</f>
        <v>4530.715514642236</v>
      </c>
      <c r="I44" s="17">
        <f>Auswertung!AU34</f>
        <v>3845.276075085059</v>
      </c>
      <c r="J44" s="17">
        <f>Auswertung!AV34</f>
        <v>904.2498787377461</v>
      </c>
      <c r="K44" s="17">
        <f>Auswertung!Z34</f>
        <v>1712.9525775557445</v>
      </c>
      <c r="L44" s="20">
        <f>Auswertung!AW34*100</f>
        <v>52.78896162017767</v>
      </c>
    </row>
    <row r="45" spans="1:12" ht="12">
      <c r="A45" s="27">
        <v>5</v>
      </c>
      <c r="B45" s="19">
        <f>Auswertung!K35</f>
        <v>1.1675898801799687</v>
      </c>
      <c r="C45" s="29">
        <f>Auswertung!N35</f>
        <v>1.180044366765733</v>
      </c>
      <c r="D45" s="19">
        <f>Auswertung!S35</f>
        <v>0.3120208586009158</v>
      </c>
      <c r="E45" s="19">
        <f>Auswertung!W35</f>
        <v>9.932756264220075</v>
      </c>
      <c r="F45" s="19">
        <f>Auswertung!X35</f>
        <v>10.101803687662004</v>
      </c>
      <c r="G45" s="19">
        <f>Auswertung!AH35/100000</f>
        <v>1.2740522697755268</v>
      </c>
      <c r="H45" s="17">
        <f>Auswertung!AQ35</f>
        <v>4600.183829860661</v>
      </c>
      <c r="I45" s="17">
        <f>Auswertung!AU35</f>
        <v>3898.3143002231773</v>
      </c>
      <c r="J45" s="17">
        <f>Auswertung!AV35</f>
        <v>1420.2042266130668</v>
      </c>
      <c r="K45" s="17">
        <f>Auswertung!Z35</f>
        <v>2218.2119709354965</v>
      </c>
      <c r="L45" s="20">
        <f>Auswertung!AW35*100</f>
        <v>64.02473006284055</v>
      </c>
    </row>
    <row r="46" spans="1:12" ht="12">
      <c r="A46" s="27">
        <v>6</v>
      </c>
      <c r="B46" s="19">
        <f>Auswertung!K36</f>
        <v>1.1669833093880881</v>
      </c>
      <c r="C46" s="29">
        <f>Auswertung!N36</f>
        <v>1.1802438153976142</v>
      </c>
      <c r="D46" s="19">
        <f>Auswertung!S36</f>
        <v>0.42843409270985483</v>
      </c>
      <c r="E46" s="19">
        <f>Auswertung!W36</f>
        <v>13.639724147482324</v>
      </c>
      <c r="F46" s="19">
        <f>Auswertung!X36</f>
        <v>13.850742205074951</v>
      </c>
      <c r="G46" s="19">
        <f>Auswertung!AH36/100000</f>
        <v>1.748485211226075</v>
      </c>
      <c r="H46" s="17">
        <f>Auswertung!AQ36</f>
        <v>4607.238004529337</v>
      </c>
      <c r="I46" s="17">
        <f>Auswertung!AU36</f>
        <v>3903.6324057984552</v>
      </c>
      <c r="J46" s="17">
        <f>Auswertung!AV36</f>
        <v>1951.7203115949003</v>
      </c>
      <c r="K46" s="17">
        <f>Auswertung!Z36</f>
        <v>2772.7649636693714</v>
      </c>
      <c r="L46" s="20">
        <f>Auswertung!AW36*100</f>
        <v>70.38895604811985</v>
      </c>
    </row>
    <row r="47" spans="1:12" ht="12">
      <c r="A47" s="27">
        <v>7</v>
      </c>
      <c r="B47" s="19">
        <f>Auswertung!K37</f>
        <v>1.1658502809277833</v>
      </c>
      <c r="C47" s="29">
        <f>Auswertung!N37</f>
        <v>1.1792186676951402</v>
      </c>
      <c r="D47" s="19">
        <f>Auswertung!S37</f>
        <v>0.5874286382901199</v>
      </c>
      <c r="E47" s="19">
        <f>Auswertung!W37</f>
        <v>18.70378640979739</v>
      </c>
      <c r="F47" s="19">
        <f>Auswertung!X37</f>
        <v>18.984735408591902</v>
      </c>
      <c r="G47" s="19">
        <f>Auswertung!AH37/100000</f>
        <v>2.3950312987264626</v>
      </c>
      <c r="H47" s="17">
        <f>Auswertung!AQ37</f>
        <v>4509.670987688155</v>
      </c>
      <c r="I47" s="17">
        <f>Auswertung!AU37</f>
        <v>3824.287310938353</v>
      </c>
      <c r="J47" s="17">
        <f>Auswertung!AV37</f>
        <v>2619.077861538808</v>
      </c>
      <c r="K47" s="17">
        <f>Auswertung!Z37</f>
        <v>3450.55195478855</v>
      </c>
      <c r="L47" s="20">
        <f>Auswertung!AW37*100</f>
        <v>75.90315682405962</v>
      </c>
    </row>
    <row r="48" spans="1:12" ht="12">
      <c r="A48" s="27">
        <v>8</v>
      </c>
      <c r="B48" s="19">
        <f>Auswertung!K38</f>
        <v>1.1640992369436756</v>
      </c>
      <c r="C48" s="29">
        <f>Auswertung!N38</f>
        <v>1.17651384627383</v>
      </c>
      <c r="D48" s="19">
        <f>Auswertung!S38</f>
        <v>0.7720002887644504</v>
      </c>
      <c r="E48" s="19">
        <f>Auswertung!W38</f>
        <v>24.58508967994746</v>
      </c>
      <c r="F48" s="19">
        <f>Auswertung!X38</f>
        <v>24.98446820173949</v>
      </c>
      <c r="G48" s="19">
        <f>Auswertung!AH38/100000</f>
        <v>3.1428290839074267</v>
      </c>
      <c r="H48" s="17">
        <f>Auswertung!AQ38</f>
        <v>4077.822035388161</v>
      </c>
      <c r="I48" s="17">
        <f>Auswertung!AU38</f>
        <v>3466.0212867899054</v>
      </c>
      <c r="J48" s="17">
        <f>Auswertung!AV38</f>
        <v>3114.8611566657237</v>
      </c>
      <c r="K48" s="17">
        <f>Auswertung!Z38</f>
        <v>4189.955945100383</v>
      </c>
      <c r="L48" s="20">
        <f>Auswertung!AW38*100</f>
        <v>74.34114337904089</v>
      </c>
    </row>
    <row r="49" spans="1:12" ht="12">
      <c r="A49" s="27">
        <v>9</v>
      </c>
      <c r="B49" s="19">
        <f>Auswertung!K39</f>
        <v>1.1616500643123095</v>
      </c>
      <c r="C49" s="29">
        <f>Auswertung!N39</f>
        <v>1.1693550979589582</v>
      </c>
      <c r="D49" s="19">
        <f>Auswertung!S39</f>
        <v>0.9744669941598956</v>
      </c>
      <c r="E49" s="19">
        <f>Auswertung!W39</f>
        <v>31.040861017899427</v>
      </c>
      <c r="F49" s="19">
        <f>Auswertung!X39</f>
        <v>31.779707041096277</v>
      </c>
      <c r="G49" s="19">
        <f>Auswertung!AH39/100000</f>
        <v>3.9587288015633204</v>
      </c>
      <c r="H49" s="17">
        <f>Auswertung!AQ39</f>
        <v>3372.021134888089</v>
      </c>
      <c r="I49" s="17">
        <f>Auswertung!AU39</f>
        <v>2883.658813968278</v>
      </c>
      <c r="J49" s="17">
        <f>Auswertung!AV39</f>
        <v>3264.2719212661955</v>
      </c>
      <c r="K49" s="17">
        <f>Auswertung!Z39</f>
        <v>4990.976934604868</v>
      </c>
      <c r="L49" s="20">
        <f>Auswertung!AW39*100</f>
        <v>65.40346637616</v>
      </c>
    </row>
    <row r="50" spans="1:12" ht="12">
      <c r="A50" s="27">
        <v>10</v>
      </c>
      <c r="B50" s="19">
        <f>Auswertung!K40</f>
        <v>1.1585828761571406</v>
      </c>
      <c r="C50" s="29">
        <f>Auswertung!N40</f>
        <v>1.1612545678624446</v>
      </c>
      <c r="D50" s="19">
        <f>Auswertung!S40</f>
        <v>1.1818663626541432</v>
      </c>
      <c r="E50" s="19">
        <f>Auswertung!W40</f>
        <v>37.65954102747622</v>
      </c>
      <c r="F50" s="19">
        <f>Auswertung!X40</f>
        <v>38.862816591835426</v>
      </c>
      <c r="G50" s="19">
        <f>Auswertung!AH40/100000</f>
        <v>4.7886023437721645</v>
      </c>
      <c r="H50" s="17">
        <f>Auswertung!AQ40</f>
        <v>2475.512602505201</v>
      </c>
      <c r="I50" s="17">
        <f>Auswertung!AU40</f>
        <v>2131.7570419222975</v>
      </c>
      <c r="J50" s="17">
        <f>Auswertung!AV40</f>
        <v>2918.9938763741006</v>
      </c>
      <c r="K50" s="17">
        <f>Auswertung!Z40</f>
        <v>5853.614923302006</v>
      </c>
      <c r="L50" s="20">
        <f>Auswertung!AW40*100</f>
        <v>49.8665169236569</v>
      </c>
    </row>
    <row r="51" spans="1:12" ht="12">
      <c r="A51" s="27">
        <v>11</v>
      </c>
      <c r="B51" s="19">
        <f>Auswertung!K41</f>
        <v>1.1560879245980853</v>
      </c>
      <c r="C51" s="29">
        <f>Auswertung!N41</f>
        <v>1.1525480938560744</v>
      </c>
      <c r="D51" s="19">
        <f>Auswertung!S41</f>
        <v>1.3282416266064168</v>
      </c>
      <c r="E51" s="19">
        <f>Auswertung!W41</f>
        <v>42.33437615618885</v>
      </c>
      <c r="F51" s="19">
        <f>Auswertung!X41</f>
        <v>44.13613698992152</v>
      </c>
      <c r="G51" s="19">
        <f>Auswertung!AH41/100000</f>
        <v>5.370086087008307</v>
      </c>
      <c r="H51" s="17">
        <f>Auswertung!AQ41</f>
        <v>1530.1350453071527</v>
      </c>
      <c r="I51" s="17">
        <f>Auswertung!AU41</f>
        <v>1327.610581687561</v>
      </c>
      <c r="J51" s="17">
        <f>Auswertung!AV41</f>
        <v>2038.631155279173</v>
      </c>
      <c r="K51" s="17">
        <f>Auswertung!Z41</f>
        <v>6408.16791603588</v>
      </c>
      <c r="L51" s="20">
        <f>Auswertung!AW41*100</f>
        <v>31.813010863489964</v>
      </c>
    </row>
  </sheetData>
  <mergeCells count="7">
    <mergeCell ref="B40:C40"/>
    <mergeCell ref="E24:F24"/>
    <mergeCell ref="E40:F40"/>
    <mergeCell ref="A2:L2"/>
    <mergeCell ref="B8:C8"/>
    <mergeCell ref="E8:F8"/>
    <mergeCell ref="B24:C24"/>
  </mergeCells>
  <printOptions/>
  <pageMargins left="0.7874015748031497" right="0.5905511811023623" top="0.984251968503937" bottom="0.984251968503937" header="0.5118110236220472" footer="0.5118110236220472"/>
  <pageSetup orientation="portrait" paperSize="9" r:id="rId38"/>
  <headerFooter alignWithMargins="0">
    <oddHeader>&amp;C&amp;A</oddHeader>
  </headerFooter>
  <drawing r:id="rId37"/>
  <legacyDrawing r:id="rId36"/>
  <oleObjects>
    <oleObject progId="Equation.3" shapeId="648895" r:id="rId1"/>
    <oleObject progId="Equation.3" shapeId="649767" r:id="rId2"/>
    <oleObject progId="Equation.3" shapeId="654554" r:id="rId3"/>
    <oleObject progId="Equation.3" shapeId="657250" r:id="rId4"/>
    <oleObject progId="Equation.3" shapeId="658945" r:id="rId5"/>
    <oleObject progId="Equation.3" shapeId="678648" r:id="rId6"/>
    <oleObject progId="Equation.3" shapeId="678650" r:id="rId7"/>
    <oleObject progId="Equation.3" shapeId="680128" r:id="rId8"/>
    <oleObject progId="Equation.3" shapeId="680129" r:id="rId9"/>
    <oleObject progId="Equation.3" shapeId="684757" r:id="rId10"/>
    <oleObject progId="Equation.3" shapeId="689043" r:id="rId11"/>
    <oleObject progId="Equation.3" shapeId="689044" r:id="rId12"/>
    <oleObject progId="Equation.3" shapeId="690007" r:id="rId13"/>
    <oleObject progId="Equation.3" shapeId="690008" r:id="rId14"/>
    <oleObject progId="Equation.3" shapeId="692881" r:id="rId15"/>
    <oleObject progId="Equation.3" shapeId="694342" r:id="rId16"/>
    <oleObject progId="Equation.3" shapeId="695477" r:id="rId17"/>
    <oleObject progId="Equation.3" shapeId="698364" r:id="rId18"/>
    <oleObject progId="Equation.3" shapeId="704549" r:id="rId19"/>
    <oleObject progId="Equation.3" shapeId="705558" r:id="rId20"/>
    <oleObject progId="Equation.3" shapeId="708273" r:id="rId21"/>
    <oleObject progId="Equation.3" shapeId="719375" r:id="rId22"/>
    <oleObject progId="Equation.3" shapeId="719376" r:id="rId23"/>
    <oleObject progId="Equation.3" shapeId="719377" r:id="rId24"/>
    <oleObject progId="Equation.3" shapeId="719378" r:id="rId25"/>
    <oleObject progId="Equation.3" shapeId="719379" r:id="rId26"/>
    <oleObject progId="Equation.3" shapeId="719380" r:id="rId27"/>
    <oleObject progId="Equation.3" shapeId="719381" r:id="rId28"/>
    <oleObject progId="Equation.3" shapeId="721516" r:id="rId29"/>
    <oleObject progId="Equation.3" shapeId="721517" r:id="rId30"/>
    <oleObject progId="Equation.3" shapeId="721518" r:id="rId31"/>
    <oleObject progId="Equation.3" shapeId="721519" r:id="rId32"/>
    <oleObject progId="Equation.3" shapeId="721520" r:id="rId33"/>
    <oleObject progId="Equation.3" shapeId="721521" r:id="rId34"/>
    <oleObject progId="Equation.3" shapeId="721522" r:id="rId3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L2:AB47"/>
  <sheetViews>
    <sheetView tabSelected="1" workbookViewId="0" topLeftCell="A139">
      <selection activeCell="A149" sqref="A149"/>
    </sheetView>
  </sheetViews>
  <sheetFormatPr defaultColWidth="11.421875" defaultRowHeight="12.75"/>
  <sheetData>
    <row r="1" ht="13.5" thickBot="1"/>
    <row r="2" spans="13:24" ht="13.5" thickBot="1">
      <c r="M2" s="66"/>
      <c r="N2" s="67"/>
      <c r="O2" s="67"/>
      <c r="P2" s="67"/>
      <c r="Q2" s="67"/>
      <c r="R2" s="67"/>
      <c r="S2" s="67"/>
      <c r="T2" s="67"/>
      <c r="U2" s="67"/>
      <c r="V2" s="68"/>
      <c r="W2" s="42"/>
      <c r="X2" s="42"/>
    </row>
    <row r="3" spans="12:24" ht="13.5" thickBot="1">
      <c r="L3" s="51">
        <v>0.01428571</v>
      </c>
      <c r="M3" s="69" t="s">
        <v>73</v>
      </c>
      <c r="N3" s="70"/>
      <c r="O3" s="69" t="s">
        <v>74</v>
      </c>
      <c r="P3" s="70"/>
      <c r="Q3" s="69" t="s">
        <v>75</v>
      </c>
      <c r="R3" s="70"/>
      <c r="S3" s="69" t="s">
        <v>76</v>
      </c>
      <c r="T3" s="70"/>
      <c r="U3" s="64" t="s">
        <v>77</v>
      </c>
      <c r="V3" s="65"/>
      <c r="W3" s="43"/>
      <c r="X3" s="43"/>
    </row>
    <row r="4" spans="12:24" ht="13.5" thickBot="1">
      <c r="L4" s="51">
        <v>32.6086957</v>
      </c>
      <c r="M4" s="44" t="s">
        <v>78</v>
      </c>
      <c r="N4" s="44" t="s">
        <v>79</v>
      </c>
      <c r="O4" s="44" t="s">
        <v>78</v>
      </c>
      <c r="P4" s="44" t="s">
        <v>79</v>
      </c>
      <c r="Q4" s="44" t="s">
        <v>78</v>
      </c>
      <c r="R4" s="44" t="s">
        <v>79</v>
      </c>
      <c r="S4" s="44" t="s">
        <v>78</v>
      </c>
      <c r="T4" s="44" t="s">
        <v>79</v>
      </c>
      <c r="U4" s="44" t="s">
        <v>78</v>
      </c>
      <c r="V4" s="44" t="s">
        <v>79</v>
      </c>
      <c r="W4" s="43"/>
      <c r="X4" s="43"/>
    </row>
    <row r="5" spans="13:24" ht="12.75">
      <c r="M5" s="45">
        <f>$L$3*M15</f>
        <v>1.34285674</v>
      </c>
      <c r="N5" s="48">
        <f aca="true" t="shared" si="0" ref="N5:N10">$L$4*N15</f>
        <v>3097.8260915</v>
      </c>
      <c r="O5" s="45">
        <f aca="true" t="shared" si="1" ref="O5:U5">$L$3*O15</f>
        <v>1.21428535</v>
      </c>
      <c r="P5" s="48">
        <f aca="true" t="shared" si="2" ref="P5:P10">$L$4*P15</f>
        <v>3423.9130484999996</v>
      </c>
      <c r="Q5" s="45">
        <f t="shared" si="1"/>
        <v>1.17142822</v>
      </c>
      <c r="R5" s="48">
        <f aca="true" t="shared" si="3" ref="R5:R10">$L$4*R15</f>
        <v>3750.0000055</v>
      </c>
      <c r="S5" s="45">
        <f t="shared" si="1"/>
        <v>1.05714254</v>
      </c>
      <c r="T5" s="48">
        <f aca="true" t="shared" si="4" ref="T5:T10">$L$4*T15</f>
        <v>4141.3043539</v>
      </c>
      <c r="U5" s="45">
        <f t="shared" si="1"/>
        <v>0.81428547</v>
      </c>
      <c r="V5" s="48">
        <f aca="true" t="shared" si="5" ref="V5:V10">$L$4*V15</f>
        <v>4728.2608764999995</v>
      </c>
      <c r="W5" s="43"/>
      <c r="X5" s="43"/>
    </row>
    <row r="6" spans="13:24" ht="12.75">
      <c r="M6" s="46">
        <f aca="true" t="shared" si="6" ref="M6:U10">$L$3*M16</f>
        <v>1.27142819</v>
      </c>
      <c r="N6" s="49">
        <f t="shared" si="0"/>
        <v>2771.7391344999996</v>
      </c>
      <c r="O6" s="46">
        <f t="shared" si="6"/>
        <v>1.1428568000000001</v>
      </c>
      <c r="P6" s="49">
        <f t="shared" si="2"/>
        <v>3032.6087000999996</v>
      </c>
      <c r="Q6" s="46">
        <f t="shared" si="6"/>
        <v>1.11428538</v>
      </c>
      <c r="R6" s="49">
        <f t="shared" si="3"/>
        <v>3326.0869614</v>
      </c>
      <c r="S6" s="46">
        <f t="shared" si="6"/>
        <v>1.01428541</v>
      </c>
      <c r="T6" s="49">
        <f t="shared" si="4"/>
        <v>3652.1739184</v>
      </c>
      <c r="U6" s="46">
        <f t="shared" si="6"/>
        <v>0.81428547</v>
      </c>
      <c r="V6" s="49">
        <f t="shared" si="5"/>
        <v>4108.6956582</v>
      </c>
      <c r="W6" s="43"/>
      <c r="X6" s="43"/>
    </row>
    <row r="7" spans="13:24" ht="12.75">
      <c r="M7" s="47">
        <f t="shared" si="6"/>
        <v>1.19999964</v>
      </c>
      <c r="N7" s="50">
        <f t="shared" si="0"/>
        <v>2413.0434818</v>
      </c>
      <c r="O7" s="47">
        <f t="shared" si="6"/>
        <v>0.98571399</v>
      </c>
      <c r="P7" s="50">
        <f t="shared" si="2"/>
        <v>2673.9130474</v>
      </c>
      <c r="Q7" s="47">
        <f t="shared" si="6"/>
        <v>1.05714254</v>
      </c>
      <c r="R7" s="50">
        <f t="shared" si="3"/>
        <v>2934.782613</v>
      </c>
      <c r="S7" s="47">
        <f t="shared" si="6"/>
        <v>0.95714257</v>
      </c>
      <c r="T7" s="50">
        <f t="shared" si="4"/>
        <v>3228.2608743</v>
      </c>
      <c r="U7" s="47">
        <f t="shared" si="6"/>
        <v>0.81428547</v>
      </c>
      <c r="V7" s="50">
        <f t="shared" si="5"/>
        <v>3619.5652227</v>
      </c>
      <c r="W7" s="43"/>
      <c r="X7" s="43"/>
    </row>
    <row r="8" spans="13:24" ht="12.75">
      <c r="M8" s="47">
        <f t="shared" si="6"/>
        <v>0.22857136</v>
      </c>
      <c r="N8" s="50">
        <f t="shared" si="0"/>
        <v>3978.2608754</v>
      </c>
      <c r="O8" s="47">
        <f t="shared" si="6"/>
        <v>0.28571420000000003</v>
      </c>
      <c r="P8" s="50">
        <f t="shared" si="2"/>
        <v>4010.8695711</v>
      </c>
      <c r="Q8" s="47">
        <f t="shared" si="6"/>
        <v>0.32857133</v>
      </c>
      <c r="R8" s="50">
        <f t="shared" si="3"/>
        <v>4010.8695711</v>
      </c>
      <c r="S8" s="47">
        <f t="shared" si="6"/>
        <v>0.44285701</v>
      </c>
      <c r="T8" s="50">
        <f t="shared" si="4"/>
        <v>4010.8695711</v>
      </c>
      <c r="U8" s="47">
        <f t="shared" si="6"/>
        <v>0.5714284000000001</v>
      </c>
      <c r="V8" s="50">
        <f t="shared" si="5"/>
        <v>4010.8695711</v>
      </c>
      <c r="W8" s="43"/>
      <c r="X8" s="43"/>
    </row>
    <row r="9" spans="13:24" ht="12.75">
      <c r="M9" s="46">
        <f t="shared" si="6"/>
        <v>0.24285707</v>
      </c>
      <c r="N9" s="49">
        <f t="shared" si="0"/>
        <v>4467.3913109</v>
      </c>
      <c r="O9" s="46">
        <f t="shared" si="6"/>
        <v>0.307142765</v>
      </c>
      <c r="P9" s="49">
        <f t="shared" si="2"/>
        <v>4500.000006599999</v>
      </c>
      <c r="Q9" s="46">
        <f t="shared" si="6"/>
        <v>0.38571417</v>
      </c>
      <c r="R9" s="49">
        <f t="shared" si="3"/>
        <v>4532.6087023</v>
      </c>
      <c r="S9" s="46">
        <f t="shared" si="6"/>
        <v>0.49999985</v>
      </c>
      <c r="T9" s="49">
        <f t="shared" si="4"/>
        <v>4532.6087023</v>
      </c>
      <c r="U9" s="46">
        <f t="shared" si="6"/>
        <v>0.61428553</v>
      </c>
      <c r="V9" s="49">
        <f t="shared" si="5"/>
        <v>4500.000006599999</v>
      </c>
      <c r="W9" s="43"/>
      <c r="X9" s="43"/>
    </row>
    <row r="10" spans="13:22" ht="12.75">
      <c r="M10" s="45">
        <f t="shared" si="6"/>
        <v>0.25714278</v>
      </c>
      <c r="N10" s="48">
        <f t="shared" si="0"/>
        <v>5021.739137799999</v>
      </c>
      <c r="O10" s="45">
        <f t="shared" si="6"/>
        <v>0.34285704</v>
      </c>
      <c r="P10" s="48">
        <f t="shared" si="2"/>
        <v>5054.3478335</v>
      </c>
      <c r="Q10" s="45">
        <f t="shared" si="6"/>
        <v>0.41428559</v>
      </c>
      <c r="R10" s="48">
        <f t="shared" si="3"/>
        <v>5086.9565292</v>
      </c>
      <c r="S10" s="45">
        <f t="shared" si="6"/>
        <v>0.54285698</v>
      </c>
      <c r="T10" s="48">
        <f t="shared" si="4"/>
        <v>5054.3478335</v>
      </c>
      <c r="U10" s="45">
        <f t="shared" si="6"/>
        <v>0.69999979</v>
      </c>
      <c r="V10" s="48">
        <f t="shared" si="5"/>
        <v>4923.9130507</v>
      </c>
    </row>
    <row r="12" spans="12:24" ht="12.75"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2:24" ht="12.75">
      <c r="L13" s="52"/>
      <c r="M13" s="62" t="s">
        <v>80</v>
      </c>
      <c r="N13" s="62"/>
      <c r="O13" s="62" t="s">
        <v>81</v>
      </c>
      <c r="P13" s="62"/>
      <c r="Q13" s="62" t="s">
        <v>82</v>
      </c>
      <c r="R13" s="62"/>
      <c r="S13" s="62" t="s">
        <v>83</v>
      </c>
      <c r="T13" s="62"/>
      <c r="U13" s="62" t="s">
        <v>84</v>
      </c>
      <c r="V13" s="62"/>
      <c r="W13" s="52"/>
      <c r="X13" s="52"/>
    </row>
    <row r="14" spans="12:28" ht="12.75">
      <c r="L14" s="52"/>
      <c r="M14" s="55" t="s">
        <v>78</v>
      </c>
      <c r="N14" s="55" t="s">
        <v>87</v>
      </c>
      <c r="O14" s="55" t="s">
        <v>78</v>
      </c>
      <c r="P14" s="53" t="s">
        <v>85</v>
      </c>
      <c r="Q14" s="56" t="s">
        <v>78</v>
      </c>
      <c r="R14" s="56" t="s">
        <v>87</v>
      </c>
      <c r="S14" s="56" t="s">
        <v>78</v>
      </c>
      <c r="T14" s="56" t="s">
        <v>87</v>
      </c>
      <c r="U14" s="56" t="s">
        <v>78</v>
      </c>
      <c r="V14" s="56" t="s">
        <v>87</v>
      </c>
      <c r="W14" s="57"/>
      <c r="X14" s="57"/>
      <c r="Y14" s="58"/>
      <c r="Z14" s="58"/>
      <c r="AA14" s="58"/>
      <c r="AB14" s="58"/>
    </row>
    <row r="15" spans="12:28" ht="12.75">
      <c r="L15" s="52"/>
      <c r="M15" s="56">
        <v>94</v>
      </c>
      <c r="N15" s="56">
        <v>95</v>
      </c>
      <c r="O15" s="56">
        <v>85</v>
      </c>
      <c r="P15" s="53">
        <v>105</v>
      </c>
      <c r="Q15" s="56">
        <v>82</v>
      </c>
      <c r="R15" s="56">
        <v>115</v>
      </c>
      <c r="S15" s="56">
        <v>74</v>
      </c>
      <c r="T15" s="56">
        <v>127</v>
      </c>
      <c r="U15" s="56">
        <v>57</v>
      </c>
      <c r="V15" s="56">
        <v>145</v>
      </c>
      <c r="W15" s="57"/>
      <c r="X15" s="57"/>
      <c r="Y15" s="58"/>
      <c r="Z15" s="58"/>
      <c r="AA15" s="58"/>
      <c r="AB15" s="58"/>
    </row>
    <row r="16" spans="12:28" ht="12.75">
      <c r="L16" s="52"/>
      <c r="M16" s="56">
        <v>89</v>
      </c>
      <c r="N16" s="56">
        <v>85</v>
      </c>
      <c r="O16" s="56">
        <v>80</v>
      </c>
      <c r="P16" s="53">
        <v>93</v>
      </c>
      <c r="Q16" s="56">
        <v>78</v>
      </c>
      <c r="R16" s="56">
        <v>102</v>
      </c>
      <c r="S16" s="56">
        <v>71</v>
      </c>
      <c r="T16" s="56">
        <v>112</v>
      </c>
      <c r="U16" s="56">
        <v>57</v>
      </c>
      <c r="V16" s="56">
        <v>126</v>
      </c>
      <c r="W16" s="57"/>
      <c r="X16" s="57"/>
      <c r="Y16" s="58"/>
      <c r="Z16" s="58"/>
      <c r="AA16" s="58"/>
      <c r="AB16" s="58"/>
    </row>
    <row r="17" spans="12:28" ht="12.75">
      <c r="L17" s="52"/>
      <c r="M17" s="56">
        <v>84</v>
      </c>
      <c r="N17" s="56">
        <v>74</v>
      </c>
      <c r="O17" s="56">
        <v>69</v>
      </c>
      <c r="P17" s="53">
        <v>82</v>
      </c>
      <c r="Q17" s="56">
        <v>74</v>
      </c>
      <c r="R17" s="56">
        <v>90</v>
      </c>
      <c r="S17" s="56">
        <v>67</v>
      </c>
      <c r="T17" s="56">
        <v>99</v>
      </c>
      <c r="U17" s="56">
        <v>57</v>
      </c>
      <c r="V17" s="56">
        <v>111</v>
      </c>
      <c r="W17" s="57"/>
      <c r="X17" s="57"/>
      <c r="Y17" s="58"/>
      <c r="Z17" s="58"/>
      <c r="AA17" s="58"/>
      <c r="AB17" s="58"/>
    </row>
    <row r="18" spans="12:28" ht="12.75">
      <c r="L18" s="52"/>
      <c r="M18" s="56">
        <v>16</v>
      </c>
      <c r="N18" s="56">
        <v>122</v>
      </c>
      <c r="O18" s="56">
        <v>20</v>
      </c>
      <c r="P18" s="53">
        <v>123</v>
      </c>
      <c r="Q18" s="56">
        <v>23</v>
      </c>
      <c r="R18" s="56">
        <v>123</v>
      </c>
      <c r="S18" s="56">
        <v>31</v>
      </c>
      <c r="T18" s="56">
        <v>123</v>
      </c>
      <c r="U18" s="56">
        <v>40</v>
      </c>
      <c r="V18" s="56">
        <v>123</v>
      </c>
      <c r="W18" s="57"/>
      <c r="X18" s="57"/>
      <c r="Y18" s="58"/>
      <c r="Z18" s="58"/>
      <c r="AA18" s="58"/>
      <c r="AB18" s="58"/>
    </row>
    <row r="19" spans="12:28" ht="12.75">
      <c r="L19" s="52"/>
      <c r="M19" s="56">
        <v>17</v>
      </c>
      <c r="N19" s="56">
        <v>137</v>
      </c>
      <c r="O19" s="56">
        <v>21.5</v>
      </c>
      <c r="P19" s="53">
        <v>138</v>
      </c>
      <c r="Q19" s="56">
        <v>27</v>
      </c>
      <c r="R19" s="56">
        <v>139</v>
      </c>
      <c r="S19" s="56">
        <v>35</v>
      </c>
      <c r="T19" s="56">
        <v>139</v>
      </c>
      <c r="U19" s="56">
        <v>43</v>
      </c>
      <c r="V19" s="56">
        <v>138</v>
      </c>
      <c r="W19" s="57"/>
      <c r="X19" s="57"/>
      <c r="Y19" s="58"/>
      <c r="Z19" s="58"/>
      <c r="AA19" s="58"/>
      <c r="AB19" s="58"/>
    </row>
    <row r="20" spans="12:28" ht="12.75">
      <c r="L20" s="56"/>
      <c r="M20" s="53">
        <v>18</v>
      </c>
      <c r="N20" s="56">
        <v>154</v>
      </c>
      <c r="O20" s="56">
        <v>24</v>
      </c>
      <c r="P20" s="53">
        <v>155</v>
      </c>
      <c r="Q20" s="56">
        <v>29</v>
      </c>
      <c r="R20" s="56">
        <v>156</v>
      </c>
      <c r="S20" s="56">
        <v>38</v>
      </c>
      <c r="T20" s="56">
        <v>155</v>
      </c>
      <c r="U20" s="56">
        <v>49</v>
      </c>
      <c r="V20" s="56">
        <v>151</v>
      </c>
      <c r="W20" s="57"/>
      <c r="X20" s="57"/>
      <c r="Y20" s="58"/>
      <c r="Z20" s="58"/>
      <c r="AA20" s="58"/>
      <c r="AB20" s="58"/>
    </row>
    <row r="21" spans="12:28" ht="12.75">
      <c r="L21" s="56"/>
      <c r="M21" s="53"/>
      <c r="N21" s="57"/>
      <c r="O21" s="57"/>
      <c r="P21" s="54"/>
      <c r="Q21" s="57"/>
      <c r="R21" s="57"/>
      <c r="S21" s="57"/>
      <c r="T21" s="57"/>
      <c r="U21" s="57"/>
      <c r="V21" s="57"/>
      <c r="W21" s="57"/>
      <c r="X21" s="57"/>
      <c r="Y21" s="58"/>
      <c r="Z21" s="58"/>
      <c r="AA21" s="58"/>
      <c r="AB21" s="58"/>
    </row>
    <row r="22" spans="12:28" ht="12.75">
      <c r="L22" s="56"/>
      <c r="M22" s="53"/>
      <c r="N22" s="57"/>
      <c r="O22" s="57"/>
      <c r="P22" s="54"/>
      <c r="Q22" s="57"/>
      <c r="R22" s="57"/>
      <c r="S22" s="57"/>
      <c r="T22" s="57"/>
      <c r="U22" s="57"/>
      <c r="V22" s="57"/>
      <c r="W22" s="57"/>
      <c r="X22" s="57"/>
      <c r="Y22" s="58"/>
      <c r="Z22" s="58"/>
      <c r="AA22" s="58"/>
      <c r="AB22" s="58"/>
    </row>
    <row r="23" spans="12:28" ht="12.75">
      <c r="L23" s="52"/>
      <c r="M23" s="57"/>
      <c r="N23" s="57"/>
      <c r="O23" s="57"/>
      <c r="P23" s="54"/>
      <c r="Q23" s="57"/>
      <c r="R23" s="57"/>
      <c r="S23" s="57"/>
      <c r="T23" s="57"/>
      <c r="U23" s="57"/>
      <c r="V23" s="57"/>
      <c r="W23" s="57"/>
      <c r="X23" s="57"/>
      <c r="Y23" s="58"/>
      <c r="Z23" s="58"/>
      <c r="AA23" s="58"/>
      <c r="AB23" s="58"/>
    </row>
    <row r="24" spans="12:28" ht="12.75">
      <c r="L24" s="52"/>
      <c r="M24" s="57"/>
      <c r="N24" s="57"/>
      <c r="O24" s="57"/>
      <c r="P24" s="54"/>
      <c r="Q24" s="57"/>
      <c r="R24" s="57"/>
      <c r="S24" s="57"/>
      <c r="T24" s="57"/>
      <c r="U24" s="57"/>
      <c r="V24" s="57"/>
      <c r="W24" s="57"/>
      <c r="X24" s="57"/>
      <c r="Y24" s="58"/>
      <c r="Z24" s="58"/>
      <c r="AA24" s="58"/>
      <c r="AB24" s="58"/>
    </row>
    <row r="25" spans="12:28" ht="12.75">
      <c r="L25" s="52"/>
      <c r="M25" s="57"/>
      <c r="N25" s="57"/>
      <c r="O25" s="57"/>
      <c r="P25" s="54"/>
      <c r="Q25" s="57"/>
      <c r="R25" s="57"/>
      <c r="S25" s="57"/>
      <c r="T25" s="57"/>
      <c r="U25" s="57"/>
      <c r="V25" s="57"/>
      <c r="W25" s="57"/>
      <c r="X25" s="57"/>
      <c r="Y25" s="58"/>
      <c r="Z25" s="58"/>
      <c r="AA25" s="58"/>
      <c r="AB25" s="58"/>
    </row>
    <row r="26" spans="12:28" ht="12.75">
      <c r="L26" s="52"/>
      <c r="M26" s="57"/>
      <c r="N26" s="57"/>
      <c r="O26" s="57"/>
      <c r="P26" s="54"/>
      <c r="Q26" s="57"/>
      <c r="R26" s="57"/>
      <c r="S26" s="57"/>
      <c r="T26" s="57"/>
      <c r="U26" s="57"/>
      <c r="V26" s="57"/>
      <c r="W26" s="57"/>
      <c r="X26" s="57"/>
      <c r="Y26" s="58"/>
      <c r="Z26" s="58"/>
      <c r="AA26" s="58"/>
      <c r="AB26" s="58"/>
    </row>
    <row r="27" spans="12:28" ht="12.75">
      <c r="L27" s="52"/>
      <c r="M27" s="57"/>
      <c r="N27" s="57"/>
      <c r="O27" s="57"/>
      <c r="P27" s="54"/>
      <c r="Q27" s="57"/>
      <c r="R27" s="57"/>
      <c r="S27" s="57"/>
      <c r="T27" s="57"/>
      <c r="U27" s="57"/>
      <c r="V27" s="57"/>
      <c r="W27" s="57"/>
      <c r="X27" s="57"/>
      <c r="Y27" s="58"/>
      <c r="Z27" s="58"/>
      <c r="AA27" s="58"/>
      <c r="AB27" s="58"/>
    </row>
    <row r="28" spans="12:28" ht="12.75">
      <c r="L28" s="52"/>
      <c r="M28" s="57"/>
      <c r="N28" s="57"/>
      <c r="O28" s="57">
        <v>0</v>
      </c>
      <c r="P28" s="54"/>
      <c r="Q28" s="57">
        <v>50</v>
      </c>
      <c r="R28" s="57"/>
      <c r="S28" s="57">
        <v>55</v>
      </c>
      <c r="T28" s="57"/>
      <c r="U28" s="57">
        <v>60</v>
      </c>
      <c r="V28" s="57">
        <v>65</v>
      </c>
      <c r="W28" s="57">
        <v>70</v>
      </c>
      <c r="X28" s="57"/>
      <c r="Y28" s="58"/>
      <c r="Z28" s="58"/>
      <c r="AA28" s="58"/>
      <c r="AB28" s="58"/>
    </row>
    <row r="29" spans="12:28" ht="12.75">
      <c r="L29" s="52"/>
      <c r="M29" s="57"/>
      <c r="N29" s="57"/>
      <c r="O29" s="57">
        <v>0.5</v>
      </c>
      <c r="P29" s="54"/>
      <c r="Q29" s="57">
        <v>50</v>
      </c>
      <c r="R29" s="57"/>
      <c r="S29" s="57">
        <v>55</v>
      </c>
      <c r="T29" s="57"/>
      <c r="U29" s="57">
        <v>60</v>
      </c>
      <c r="V29" s="57">
        <v>65</v>
      </c>
      <c r="W29" s="57">
        <v>70</v>
      </c>
      <c r="X29" s="57"/>
      <c r="Y29" s="58"/>
      <c r="Z29" s="58"/>
      <c r="AA29" s="58"/>
      <c r="AB29" s="58"/>
    </row>
    <row r="30" spans="12:28" ht="12.75">
      <c r="L30" s="52"/>
      <c r="M30" s="57"/>
      <c r="N30" s="57"/>
      <c r="O30" s="57">
        <v>1</v>
      </c>
      <c r="P30" s="54"/>
      <c r="Q30" s="57">
        <v>50</v>
      </c>
      <c r="R30" s="57"/>
      <c r="S30" s="57">
        <v>55</v>
      </c>
      <c r="T30" s="57"/>
      <c r="U30" s="57">
        <v>60</v>
      </c>
      <c r="V30" s="57">
        <v>65</v>
      </c>
      <c r="W30" s="57">
        <v>70</v>
      </c>
      <c r="X30" s="57"/>
      <c r="Y30" s="58"/>
      <c r="Z30" s="58"/>
      <c r="AA30" s="58"/>
      <c r="AB30" s="58"/>
    </row>
    <row r="31" spans="12:28" ht="12.75">
      <c r="L31" s="54">
        <v>1.21</v>
      </c>
      <c r="M31" s="54">
        <v>3424</v>
      </c>
      <c r="N31" s="57"/>
      <c r="O31" s="57">
        <v>1.5</v>
      </c>
      <c r="P31" s="54"/>
      <c r="Q31" s="57">
        <v>50</v>
      </c>
      <c r="R31" s="57"/>
      <c r="S31" s="57">
        <v>55</v>
      </c>
      <c r="T31" s="57"/>
      <c r="U31" s="57">
        <v>60</v>
      </c>
      <c r="V31" s="57">
        <v>65</v>
      </c>
      <c r="W31" s="57">
        <v>70</v>
      </c>
      <c r="X31" s="57"/>
      <c r="Y31" s="58"/>
      <c r="Z31" s="58"/>
      <c r="AA31" s="58"/>
      <c r="AB31" s="58"/>
    </row>
    <row r="32" spans="12:28" ht="12.75">
      <c r="L32" s="54">
        <v>1.14</v>
      </c>
      <c r="M32" s="54">
        <v>3033</v>
      </c>
      <c r="N32" s="57"/>
      <c r="O32" s="57">
        <v>2</v>
      </c>
      <c r="P32" s="54"/>
      <c r="Q32" s="57">
        <v>50</v>
      </c>
      <c r="R32" s="57"/>
      <c r="S32" s="57">
        <v>55</v>
      </c>
      <c r="T32" s="57"/>
      <c r="U32" s="57">
        <v>60</v>
      </c>
      <c r="V32" s="57">
        <v>65</v>
      </c>
      <c r="W32" s="57">
        <v>70</v>
      </c>
      <c r="X32" s="57"/>
      <c r="Y32" s="58"/>
      <c r="Z32" s="58"/>
      <c r="AA32" s="58"/>
      <c r="AB32" s="58"/>
    </row>
    <row r="33" spans="12:28" ht="12.75">
      <c r="L33" s="54">
        <v>0.99</v>
      </c>
      <c r="M33" s="54">
        <v>2674</v>
      </c>
      <c r="N33" s="57"/>
      <c r="O33" s="57"/>
      <c r="P33" s="54"/>
      <c r="Q33" s="57"/>
      <c r="R33" s="57"/>
      <c r="S33" s="57"/>
      <c r="T33" s="57"/>
      <c r="U33" s="57"/>
      <c r="V33" s="57"/>
      <c r="W33" s="57"/>
      <c r="X33" s="57"/>
      <c r="Y33" s="58"/>
      <c r="Z33" s="58"/>
      <c r="AA33" s="58"/>
      <c r="AB33" s="58"/>
    </row>
    <row r="34" spans="12:28" ht="12.75">
      <c r="L34" s="54"/>
      <c r="M34" s="54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8"/>
      <c r="Z34" s="58"/>
      <c r="AA34" s="58"/>
      <c r="AB34" s="58"/>
    </row>
    <row r="35" spans="12:28" ht="12.75">
      <c r="L35" s="52"/>
      <c r="M35" s="63" t="s">
        <v>88</v>
      </c>
      <c r="N35" s="63"/>
      <c r="O35" s="63" t="s">
        <v>86</v>
      </c>
      <c r="P35" s="63"/>
      <c r="Q35" s="63" t="s">
        <v>89</v>
      </c>
      <c r="R35" s="63"/>
      <c r="S35" s="63" t="s">
        <v>90</v>
      </c>
      <c r="T35" s="63"/>
      <c r="U35" s="63" t="s">
        <v>91</v>
      </c>
      <c r="V35" s="63"/>
      <c r="W35" s="57"/>
      <c r="X35" s="57"/>
      <c r="Y35" s="58"/>
      <c r="Z35" s="58"/>
      <c r="AA35" s="58"/>
      <c r="AB35" s="58"/>
    </row>
    <row r="36" spans="12:28" ht="12.75">
      <c r="L36" s="52"/>
      <c r="M36" s="56" t="s">
        <v>78</v>
      </c>
      <c r="N36" s="56" t="s">
        <v>87</v>
      </c>
      <c r="O36" s="56" t="s">
        <v>78</v>
      </c>
      <c r="P36" s="53" t="s">
        <v>85</v>
      </c>
      <c r="Q36" s="56" t="s">
        <v>78</v>
      </c>
      <c r="R36" s="56" t="s">
        <v>87</v>
      </c>
      <c r="S36" s="56" t="s">
        <v>78</v>
      </c>
      <c r="T36" s="56" t="s">
        <v>87</v>
      </c>
      <c r="U36" s="56" t="s">
        <v>78</v>
      </c>
      <c r="V36" s="56" t="s">
        <v>87</v>
      </c>
      <c r="W36" s="57"/>
      <c r="X36" s="57"/>
      <c r="Y36" s="58"/>
      <c r="Z36" s="58"/>
      <c r="AA36" s="58"/>
      <c r="AB36" s="58"/>
    </row>
    <row r="37" spans="12:28" ht="12.75">
      <c r="L37" s="52"/>
      <c r="M37" s="56">
        <v>94</v>
      </c>
      <c r="N37" s="56">
        <v>154</v>
      </c>
      <c r="O37" s="56">
        <v>69</v>
      </c>
      <c r="P37" s="53">
        <v>155</v>
      </c>
      <c r="Q37" s="56">
        <v>82</v>
      </c>
      <c r="R37" s="56">
        <v>156</v>
      </c>
      <c r="S37" s="56">
        <v>74</v>
      </c>
      <c r="T37" s="56">
        <v>155</v>
      </c>
      <c r="U37" s="56">
        <v>57</v>
      </c>
      <c r="V37" s="56">
        <v>151</v>
      </c>
      <c r="W37" s="57"/>
      <c r="X37" s="57"/>
      <c r="Y37" s="58"/>
      <c r="Z37" s="58"/>
      <c r="AA37" s="58"/>
      <c r="AB37" s="58"/>
    </row>
    <row r="38" spans="12:28" ht="12.75">
      <c r="L38" s="52"/>
      <c r="M38" s="56">
        <v>89</v>
      </c>
      <c r="N38" s="56">
        <v>137</v>
      </c>
      <c r="O38" s="56">
        <v>85</v>
      </c>
      <c r="P38" s="53">
        <v>138</v>
      </c>
      <c r="Q38" s="56">
        <v>78</v>
      </c>
      <c r="R38" s="56">
        <v>139</v>
      </c>
      <c r="S38" s="56">
        <v>71</v>
      </c>
      <c r="T38" s="56">
        <v>139</v>
      </c>
      <c r="U38" s="56">
        <v>57</v>
      </c>
      <c r="V38" s="56">
        <v>138</v>
      </c>
      <c r="W38" s="57"/>
      <c r="X38" s="57"/>
      <c r="Y38" s="58"/>
      <c r="Z38" s="58"/>
      <c r="AA38" s="58"/>
      <c r="AB38" s="58"/>
    </row>
    <row r="39" spans="12:28" ht="12.75">
      <c r="L39" s="52"/>
      <c r="M39" s="56">
        <v>84</v>
      </c>
      <c r="N39" s="56">
        <v>122</v>
      </c>
      <c r="O39" s="56">
        <v>80</v>
      </c>
      <c r="P39" s="53">
        <v>123</v>
      </c>
      <c r="Q39" s="56">
        <v>74</v>
      </c>
      <c r="R39" s="56">
        <v>123</v>
      </c>
      <c r="S39" s="56">
        <v>67</v>
      </c>
      <c r="T39" s="56">
        <v>123</v>
      </c>
      <c r="U39" s="56">
        <v>57</v>
      </c>
      <c r="V39" s="56">
        <v>123</v>
      </c>
      <c r="W39" s="57"/>
      <c r="X39" s="57"/>
      <c r="Y39" s="58"/>
      <c r="Z39" s="58"/>
      <c r="AA39" s="58"/>
      <c r="AB39" s="58"/>
    </row>
    <row r="40" spans="12:28" ht="12.75">
      <c r="L40" s="52"/>
      <c r="M40" s="56">
        <v>16</v>
      </c>
      <c r="N40" s="56">
        <v>74</v>
      </c>
      <c r="O40" s="56">
        <v>20</v>
      </c>
      <c r="P40" s="53">
        <v>82</v>
      </c>
      <c r="Q40" s="56">
        <v>23</v>
      </c>
      <c r="R40" s="56">
        <v>90</v>
      </c>
      <c r="S40" s="56">
        <v>31</v>
      </c>
      <c r="T40" s="56">
        <v>99</v>
      </c>
      <c r="U40" s="56">
        <v>40</v>
      </c>
      <c r="V40" s="56">
        <v>111</v>
      </c>
      <c r="W40" s="57"/>
      <c r="X40" s="57"/>
      <c r="Y40" s="58"/>
      <c r="Z40" s="58"/>
      <c r="AA40" s="58"/>
      <c r="AB40" s="58"/>
    </row>
    <row r="41" spans="12:28" ht="12.75">
      <c r="L41" s="52"/>
      <c r="M41" s="56">
        <v>17</v>
      </c>
      <c r="N41" s="56">
        <v>85</v>
      </c>
      <c r="O41" s="56">
        <v>21.5</v>
      </c>
      <c r="P41" s="53">
        <v>93</v>
      </c>
      <c r="Q41" s="56">
        <v>27</v>
      </c>
      <c r="R41" s="56">
        <v>102</v>
      </c>
      <c r="S41" s="56">
        <v>35</v>
      </c>
      <c r="T41" s="56">
        <v>112</v>
      </c>
      <c r="U41" s="56">
        <v>43</v>
      </c>
      <c r="V41" s="56">
        <v>126</v>
      </c>
      <c r="W41" s="57"/>
      <c r="X41" s="57"/>
      <c r="Y41" s="58"/>
      <c r="Z41" s="58"/>
      <c r="AA41" s="58"/>
      <c r="AB41" s="58"/>
    </row>
    <row r="42" spans="12:28" ht="12.75">
      <c r="L42" s="52"/>
      <c r="M42" s="56">
        <v>18</v>
      </c>
      <c r="N42" s="56">
        <v>95</v>
      </c>
      <c r="O42" s="56">
        <v>24</v>
      </c>
      <c r="P42" s="53">
        <v>105</v>
      </c>
      <c r="Q42" s="56">
        <v>29</v>
      </c>
      <c r="R42" s="56">
        <v>115</v>
      </c>
      <c r="S42" s="56">
        <v>38</v>
      </c>
      <c r="T42" s="56">
        <v>127</v>
      </c>
      <c r="U42" s="56">
        <v>49</v>
      </c>
      <c r="V42" s="56">
        <v>145</v>
      </c>
      <c r="W42" s="57"/>
      <c r="X42" s="57"/>
      <c r="Y42" s="58"/>
      <c r="Z42" s="58"/>
      <c r="AA42" s="58"/>
      <c r="AB42" s="58"/>
    </row>
    <row r="43" spans="12:28" ht="12.75">
      <c r="L43" s="52"/>
      <c r="M43" s="57"/>
      <c r="N43" s="57"/>
      <c r="O43" s="57"/>
      <c r="P43" s="54"/>
      <c r="Q43" s="57"/>
      <c r="R43" s="57"/>
      <c r="S43" s="57"/>
      <c r="T43" s="57"/>
      <c r="U43" s="57"/>
      <c r="V43" s="57"/>
      <c r="W43" s="57"/>
      <c r="X43" s="57"/>
      <c r="Y43" s="58"/>
      <c r="Z43" s="58"/>
      <c r="AA43" s="58"/>
      <c r="AB43" s="58"/>
    </row>
    <row r="44" spans="12:28" ht="12.75">
      <c r="L44" s="52"/>
      <c r="M44" s="57"/>
      <c r="N44" s="57"/>
      <c r="O44" s="57"/>
      <c r="P44" s="54"/>
      <c r="Q44" s="57"/>
      <c r="R44" s="57"/>
      <c r="S44" s="57"/>
      <c r="T44" s="57"/>
      <c r="U44" s="57"/>
      <c r="V44" s="57"/>
      <c r="W44" s="57"/>
      <c r="X44" s="57"/>
      <c r="Y44" s="58"/>
      <c r="Z44" s="58"/>
      <c r="AA44" s="58"/>
      <c r="AB44" s="58"/>
    </row>
    <row r="45" spans="12:28" ht="12.75">
      <c r="L45" s="52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8"/>
      <c r="Z45" s="58"/>
      <c r="AA45" s="58"/>
      <c r="AB45" s="58"/>
    </row>
    <row r="46" spans="12:28" ht="12.75">
      <c r="L46" s="52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8"/>
      <c r="Z46" s="58"/>
      <c r="AA46" s="58"/>
      <c r="AB46" s="58"/>
    </row>
    <row r="47" spans="12:24" ht="12.75"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</row>
  </sheetData>
  <mergeCells count="16">
    <mergeCell ref="U3:V3"/>
    <mergeCell ref="M2:V2"/>
    <mergeCell ref="M3:N3"/>
    <mergeCell ref="O3:P3"/>
    <mergeCell ref="Q3:R3"/>
    <mergeCell ref="S3:T3"/>
    <mergeCell ref="U13:V13"/>
    <mergeCell ref="M35:N35"/>
    <mergeCell ref="O35:P35"/>
    <mergeCell ref="Q35:R35"/>
    <mergeCell ref="S35:T35"/>
    <mergeCell ref="U35:V35"/>
    <mergeCell ref="M13:N13"/>
    <mergeCell ref="O13:P13"/>
    <mergeCell ref="Q13:R13"/>
    <mergeCell ref="S13:T13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U1:BC179"/>
  <sheetViews>
    <sheetView workbookViewId="0" topLeftCell="A102">
      <selection activeCell="AW24" sqref="AW24"/>
    </sheetView>
  </sheetViews>
  <sheetFormatPr defaultColWidth="11.421875" defaultRowHeight="12.75"/>
  <cols>
    <col min="1" max="46" width="2.7109375" style="0" customWidth="1"/>
    <col min="47" max="58" width="10.7109375" style="0" customWidth="1"/>
    <col min="59" max="89" width="2.7109375" style="0" customWidth="1"/>
  </cols>
  <sheetData>
    <row r="1" spans="47:48" ht="12.75">
      <c r="AU1" s="1" t="s">
        <v>47</v>
      </c>
      <c r="AV1" s="1" t="s">
        <v>48</v>
      </c>
    </row>
    <row r="3" spans="47:50" ht="12.75">
      <c r="AU3" t="s">
        <v>46</v>
      </c>
      <c r="AV3" s="31"/>
      <c r="AW3" t="s">
        <v>52</v>
      </c>
      <c r="AX3" s="31"/>
    </row>
    <row r="4" spans="47:50" ht="12.75">
      <c r="AU4" s="32">
        <v>0.575</v>
      </c>
      <c r="AV4" s="21">
        <v>4950</v>
      </c>
      <c r="AW4" s="32">
        <v>0.25</v>
      </c>
      <c r="AX4" s="21">
        <v>4950</v>
      </c>
    </row>
    <row r="5" spans="47:50" ht="12.75">
      <c r="AU5" s="33">
        <v>0.55</v>
      </c>
      <c r="AV5" s="21">
        <v>4600</v>
      </c>
      <c r="AW5" s="33">
        <v>0.225</v>
      </c>
      <c r="AX5" s="21">
        <v>4550</v>
      </c>
    </row>
    <row r="6" spans="47:50" ht="12.75">
      <c r="AU6" s="34">
        <v>0.525</v>
      </c>
      <c r="AV6" s="21">
        <v>4250</v>
      </c>
      <c r="AW6" s="34">
        <v>0.225</v>
      </c>
      <c r="AX6" s="21">
        <v>4200</v>
      </c>
    </row>
    <row r="7" spans="47:50" ht="12.75">
      <c r="AU7" s="34">
        <v>0.825</v>
      </c>
      <c r="AV7" s="21">
        <v>3750</v>
      </c>
      <c r="AW7" s="34">
        <v>1.175</v>
      </c>
      <c r="AX7" s="21">
        <v>2600</v>
      </c>
    </row>
    <row r="8" spans="47:50" ht="12.75">
      <c r="AU8" s="33">
        <v>0.775</v>
      </c>
      <c r="AV8" s="21">
        <v>4250</v>
      </c>
      <c r="AW8" s="33">
        <v>1.225</v>
      </c>
      <c r="AX8" s="21">
        <v>2700</v>
      </c>
    </row>
    <row r="9" spans="47:50" ht="12.75">
      <c r="AU9" s="35">
        <v>0.875</v>
      </c>
      <c r="AV9" s="21">
        <v>4450</v>
      </c>
      <c r="AW9" s="35">
        <v>1.275</v>
      </c>
      <c r="AX9" s="21">
        <v>3000</v>
      </c>
    </row>
    <row r="11" ht="12.75">
      <c r="AU11" t="s">
        <v>49</v>
      </c>
    </row>
    <row r="12" spans="47:48" ht="12.75">
      <c r="AU12" s="32">
        <v>0.45</v>
      </c>
      <c r="AV12" s="36">
        <v>5000</v>
      </c>
    </row>
    <row r="13" spans="47:48" ht="12.75">
      <c r="AU13" s="33">
        <v>0.45</v>
      </c>
      <c r="AV13" s="36">
        <v>4600</v>
      </c>
    </row>
    <row r="14" spans="47:48" ht="12.75">
      <c r="AU14" s="34">
        <v>0.475</v>
      </c>
      <c r="AV14" s="36">
        <v>4250</v>
      </c>
    </row>
    <row r="15" spans="47:48" ht="12.75">
      <c r="AU15" s="34">
        <v>0.95</v>
      </c>
      <c r="AV15" s="36">
        <v>3400</v>
      </c>
    </row>
    <row r="16" spans="47:48" ht="12.75">
      <c r="AU16" s="33">
        <v>0.95</v>
      </c>
      <c r="AV16" s="36">
        <v>3800</v>
      </c>
    </row>
    <row r="17" spans="47:48" ht="12.75">
      <c r="AU17" s="35">
        <v>1</v>
      </c>
      <c r="AV17" s="36">
        <v>4000</v>
      </c>
    </row>
    <row r="19" ht="12.75">
      <c r="AU19" t="s">
        <v>50</v>
      </c>
    </row>
    <row r="20" spans="47:48" ht="12.75">
      <c r="AU20" s="32">
        <v>0.35</v>
      </c>
      <c r="AV20" s="36">
        <v>4950</v>
      </c>
    </row>
    <row r="21" spans="47:48" ht="12.75">
      <c r="AU21" s="33">
        <v>0.35</v>
      </c>
      <c r="AV21" s="36">
        <v>4600</v>
      </c>
    </row>
    <row r="22" spans="47:48" ht="12.75">
      <c r="AU22" s="34">
        <v>0.325</v>
      </c>
      <c r="AV22" s="36">
        <v>4250</v>
      </c>
    </row>
    <row r="23" spans="47:48" ht="12.75">
      <c r="AU23" s="34">
        <v>1.05</v>
      </c>
      <c r="AV23" s="36">
        <v>3050</v>
      </c>
    </row>
    <row r="24" spans="47:48" ht="12.75">
      <c r="AU24" s="33">
        <v>1.075</v>
      </c>
      <c r="AV24" s="36">
        <v>3350</v>
      </c>
    </row>
    <row r="25" spans="47:48" ht="12.75">
      <c r="AU25" s="35">
        <v>1.1</v>
      </c>
      <c r="AV25" s="36">
        <v>3650</v>
      </c>
    </row>
    <row r="27" ht="12.75">
      <c r="AU27" t="s">
        <v>51</v>
      </c>
    </row>
    <row r="28" spans="47:48" ht="12.75">
      <c r="AU28" s="32">
        <v>0.3</v>
      </c>
      <c r="AV28" s="36">
        <v>4950</v>
      </c>
    </row>
    <row r="29" spans="47:48" ht="12.75">
      <c r="AU29" s="33">
        <v>0.275</v>
      </c>
      <c r="AV29" s="36">
        <v>4500</v>
      </c>
    </row>
    <row r="30" spans="47:48" ht="12.75">
      <c r="AU30" s="34">
        <v>0.275</v>
      </c>
      <c r="AV30" s="36">
        <v>4250</v>
      </c>
    </row>
    <row r="31" spans="47:48" ht="12.75">
      <c r="AU31" s="34">
        <v>1.125</v>
      </c>
      <c r="AV31" s="36">
        <v>2800</v>
      </c>
    </row>
    <row r="32" spans="47:48" ht="12.75">
      <c r="AU32" s="33">
        <v>1.15</v>
      </c>
      <c r="AV32" s="36">
        <v>3100</v>
      </c>
    </row>
    <row r="33" spans="47:48" ht="12.75">
      <c r="AU33" s="35">
        <v>1.2</v>
      </c>
      <c r="AV33" s="36">
        <v>3300</v>
      </c>
    </row>
    <row r="35" spans="47:48" ht="12.75">
      <c r="AU35" t="s">
        <v>71</v>
      </c>
      <c r="AV35" t="s">
        <v>72</v>
      </c>
    </row>
    <row r="142" spans="48:51" ht="12.75">
      <c r="AV142" s="1" t="s">
        <v>47</v>
      </c>
      <c r="AW142" s="1" t="s">
        <v>48</v>
      </c>
      <c r="AX142" s="1"/>
      <c r="AY142" s="1"/>
    </row>
    <row r="143" spans="48:49" ht="12.75">
      <c r="AV143" s="37">
        <v>0</v>
      </c>
      <c r="AW143" s="37">
        <f>AV143*AV143*1125.665</f>
        <v>0</v>
      </c>
    </row>
    <row r="144" spans="48:49" ht="12.75">
      <c r="AV144" s="37">
        <v>0.25</v>
      </c>
      <c r="AW144" s="37">
        <f aca="true" t="shared" si="0" ref="AW144:AW151">AV144*AV144*1125.665</f>
        <v>70.3540625</v>
      </c>
    </row>
    <row r="145" spans="48:49" ht="12.75">
      <c r="AV145" s="37">
        <v>0.5</v>
      </c>
      <c r="AW145" s="37">
        <f t="shared" si="0"/>
        <v>281.41625</v>
      </c>
    </row>
    <row r="146" spans="48:49" ht="12.75">
      <c r="AV146" s="37">
        <v>0.75</v>
      </c>
      <c r="AW146" s="37">
        <f t="shared" si="0"/>
        <v>633.1865625</v>
      </c>
    </row>
    <row r="147" spans="48:49" ht="12.75">
      <c r="AV147" s="37">
        <v>1</v>
      </c>
      <c r="AW147" s="37">
        <f t="shared" si="0"/>
        <v>1125.665</v>
      </c>
    </row>
    <row r="148" spans="48:49" ht="12.75">
      <c r="AV148" s="37">
        <v>1.25</v>
      </c>
      <c r="AW148" s="37">
        <f t="shared" si="0"/>
        <v>1758.8515625</v>
      </c>
    </row>
    <row r="149" spans="48:49" ht="12.75">
      <c r="AV149" s="37">
        <v>1.5</v>
      </c>
      <c r="AW149" s="37">
        <f t="shared" si="0"/>
        <v>2532.74625</v>
      </c>
    </row>
    <row r="150" spans="48:49" ht="12.75">
      <c r="AV150" s="37">
        <v>2</v>
      </c>
      <c r="AW150" s="37">
        <f t="shared" si="0"/>
        <v>4502.66</v>
      </c>
    </row>
    <row r="151" spans="48:49" ht="12.75">
      <c r="AV151" s="37">
        <v>2.5</v>
      </c>
      <c r="AW151" s="37">
        <f t="shared" si="0"/>
        <v>7035.40625</v>
      </c>
    </row>
    <row r="153" spans="48:55" ht="12.75">
      <c r="AV153" s="1" t="s">
        <v>53</v>
      </c>
      <c r="AW153" s="1" t="s">
        <v>54</v>
      </c>
      <c r="AX153" s="1" t="s">
        <v>55</v>
      </c>
      <c r="AY153" s="1" t="s">
        <v>56</v>
      </c>
      <c r="AZ153" s="1" t="s">
        <v>58</v>
      </c>
      <c r="BA153" s="1" t="s">
        <v>59</v>
      </c>
      <c r="BB153" s="1" t="s">
        <v>60</v>
      </c>
      <c r="BC153" s="1" t="s">
        <v>61</v>
      </c>
    </row>
    <row r="154" spans="48:55" ht="12.75">
      <c r="AV154" s="39">
        <f>Rechenwerte!D9</f>
        <v>1.2730338645856518E-08</v>
      </c>
      <c r="AW154" s="38">
        <f>Rechenwerte!I9</f>
        <v>4590.632986224172</v>
      </c>
      <c r="AX154" s="39">
        <f>1.05*1.05*1.05*AV154</f>
        <v>1.4736958274909653E-08</v>
      </c>
      <c r="AY154" s="38">
        <f>1.05*1.05*AW154</f>
        <v>5061.17286731215</v>
      </c>
      <c r="AZ154" s="39">
        <f>1.075*1.075*1.075*AV154</f>
        <v>1.5814859917439283E-08</v>
      </c>
      <c r="BA154" s="38">
        <f>1.075*1.075*AW154</f>
        <v>5305.050244705309</v>
      </c>
      <c r="BB154" s="39">
        <f>1.1*1.1*1.1*AV154</f>
        <v>1.694408073763503E-08</v>
      </c>
      <c r="BC154" s="38">
        <f>1.1*1.1*AW154</f>
        <v>5554.665913331249</v>
      </c>
    </row>
    <row r="155" spans="48:55" ht="12.75">
      <c r="AV155" s="39">
        <f>Rechenwerte!D10</f>
        <v>0.08051704377053874</v>
      </c>
      <c r="AW155" s="38">
        <f>Rechenwerte!I10</f>
        <v>4655.773216166195</v>
      </c>
      <c r="AX155" s="39">
        <f aca="true" t="shared" si="1" ref="AX155:AX164">1.05*1.05*1.05*AV155</f>
        <v>0.09320854279486993</v>
      </c>
      <c r="AY155" s="38">
        <f aca="true" t="shared" si="2" ref="AY155:AY164">1.05*1.05*AW155</f>
        <v>5132.989970823231</v>
      </c>
      <c r="AZ155" s="39">
        <f aca="true" t="shared" si="3" ref="AZ155:AZ164">1.075*1.075*1.075*AV155</f>
        <v>0.10002607186037848</v>
      </c>
      <c r="BA155" s="38">
        <f aca="true" t="shared" si="4" ref="BA155:BA164">1.075*1.075*AW155</f>
        <v>5380.327922932059</v>
      </c>
      <c r="BB155" s="39">
        <f aca="true" t="shared" si="5" ref="BB155:BB164">1.1*1.1*1.1*AV155</f>
        <v>0.1071681852585871</v>
      </c>
      <c r="BC155" s="38">
        <f aca="true" t="shared" si="6" ref="BC155:BC164">1.1*1.1*AW155</f>
        <v>5633.485591561097</v>
      </c>
    </row>
    <row r="156" spans="48:55" ht="12.75">
      <c r="AV156" s="39">
        <f>Rechenwerte!D11</f>
        <v>0.1451676033506878</v>
      </c>
      <c r="AW156" s="38">
        <f>Rechenwerte!I11</f>
        <v>4757.762750609372</v>
      </c>
      <c r="AX156" s="39">
        <f t="shared" si="1"/>
        <v>0.16804964682883997</v>
      </c>
      <c r="AY156" s="38">
        <f t="shared" si="2"/>
        <v>5245.4334325468335</v>
      </c>
      <c r="AZ156" s="39">
        <f t="shared" si="3"/>
        <v>0.18034125999379896</v>
      </c>
      <c r="BA156" s="38">
        <f t="shared" si="4"/>
        <v>5498.189578672956</v>
      </c>
      <c r="BB156" s="39">
        <f t="shared" si="5"/>
        <v>0.1932180800597655</v>
      </c>
      <c r="BC156" s="38">
        <f t="shared" si="6"/>
        <v>5756.892928237341</v>
      </c>
    </row>
    <row r="157" spans="48:55" ht="12.75">
      <c r="AV157" s="39">
        <f>Rechenwerte!D12</f>
        <v>0.23133659984401334</v>
      </c>
      <c r="AW157" s="38">
        <f>Rechenwerte!I12</f>
        <v>4843.34146248697</v>
      </c>
      <c r="AX157" s="39">
        <f t="shared" si="1"/>
        <v>0.26780103139442596</v>
      </c>
      <c r="AY157" s="38">
        <f t="shared" si="2"/>
        <v>5339.783962391884</v>
      </c>
      <c r="AZ157" s="39">
        <f t="shared" si="3"/>
        <v>0.2873887350593432</v>
      </c>
      <c r="BA157" s="38">
        <f t="shared" si="4"/>
        <v>5597.086477586505</v>
      </c>
      <c r="BB157" s="39">
        <f t="shared" si="5"/>
        <v>0.30790901439238183</v>
      </c>
      <c r="BC157" s="38">
        <f t="shared" si="6"/>
        <v>5860.443169609235</v>
      </c>
    </row>
    <row r="158" spans="48:55" ht="12.75">
      <c r="AV158" s="39">
        <f>Rechenwerte!D13</f>
        <v>0.34890376037221704</v>
      </c>
      <c r="AW158" s="38">
        <f>Rechenwerte!I13</f>
        <v>4916.591585372846</v>
      </c>
      <c r="AX158" s="39">
        <f t="shared" si="1"/>
        <v>0.4038997156008878</v>
      </c>
      <c r="AY158" s="38">
        <f t="shared" si="2"/>
        <v>5420.542222873562</v>
      </c>
      <c r="AZ158" s="39">
        <f t="shared" si="3"/>
        <v>0.43344205118615403</v>
      </c>
      <c r="BA158" s="38">
        <f t="shared" si="4"/>
        <v>5681.736150846495</v>
      </c>
      <c r="BB158" s="39">
        <f t="shared" si="5"/>
        <v>0.464390905055421</v>
      </c>
      <c r="BC158" s="38">
        <f t="shared" si="6"/>
        <v>5949.075818301144</v>
      </c>
    </row>
    <row r="159" spans="48:55" ht="12.75">
      <c r="AV159" s="39">
        <f>Rechenwerte!D14</f>
        <v>0.47530061338588553</v>
      </c>
      <c r="AW159" s="38">
        <f>Rechenwerte!I14</f>
        <v>4923.656031062283</v>
      </c>
      <c r="AX159" s="39">
        <f t="shared" si="1"/>
        <v>0.5502198725708358</v>
      </c>
      <c r="AY159" s="38">
        <f t="shared" si="2"/>
        <v>5428.330774246167</v>
      </c>
      <c r="AZ159" s="39">
        <f t="shared" si="3"/>
        <v>0.5904644666948687</v>
      </c>
      <c r="BA159" s="38">
        <f t="shared" si="4"/>
        <v>5689.90000089635</v>
      </c>
      <c r="BB159" s="39">
        <f t="shared" si="5"/>
        <v>0.6326251164166138</v>
      </c>
      <c r="BC159" s="38">
        <f t="shared" si="6"/>
        <v>5957.623797585363</v>
      </c>
    </row>
    <row r="160" spans="48:55" ht="12.75">
      <c r="AV160" s="39">
        <f>Rechenwerte!D15</f>
        <v>0.6571234829204617</v>
      </c>
      <c r="AW160" s="38">
        <f>Rechenwerte!I15</f>
        <v>4819.660586862864</v>
      </c>
      <c r="AX160" s="39">
        <f t="shared" si="1"/>
        <v>0.7607025719157996</v>
      </c>
      <c r="AY160" s="38">
        <f t="shared" si="2"/>
        <v>5313.675797016308</v>
      </c>
      <c r="AZ160" s="39">
        <f t="shared" si="3"/>
        <v>0.8163424493212054</v>
      </c>
      <c r="BA160" s="38">
        <f t="shared" si="4"/>
        <v>5569.720265693397</v>
      </c>
      <c r="BB160" s="39">
        <f t="shared" si="5"/>
        <v>0.8746313557671348</v>
      </c>
      <c r="BC160" s="38">
        <f t="shared" si="6"/>
        <v>5831.789310104066</v>
      </c>
    </row>
    <row r="161" spans="48:55" ht="12.75">
      <c r="AV161" s="39">
        <f>Rechenwerte!D16</f>
        <v>0.8656045621977736</v>
      </c>
      <c r="AW161" s="38">
        <f>Rechenwerte!I16</f>
        <v>4384.7288427784515</v>
      </c>
      <c r="AX161" s="39">
        <f t="shared" si="1"/>
        <v>1.0020454813141977</v>
      </c>
      <c r="AY161" s="38">
        <f t="shared" si="2"/>
        <v>4834.163549163243</v>
      </c>
      <c r="AZ161" s="39">
        <f t="shared" si="3"/>
        <v>1.0753378426040372</v>
      </c>
      <c r="BA161" s="38">
        <f t="shared" si="4"/>
        <v>5067.102268935848</v>
      </c>
      <c r="BB161" s="39">
        <f t="shared" si="5"/>
        <v>1.152119672285237</v>
      </c>
      <c r="BC161" s="38">
        <f t="shared" si="6"/>
        <v>5305.521899761927</v>
      </c>
    </row>
    <row r="162" spans="48:55" ht="12.75">
      <c r="AV162" s="39">
        <f>Rechenwerte!D17</f>
        <v>1.092068459712121</v>
      </c>
      <c r="AW162" s="38">
        <f>Rechenwerte!I17</f>
        <v>3638.7714786129286</v>
      </c>
      <c r="AX162" s="39">
        <f t="shared" si="1"/>
        <v>1.2642057506742443</v>
      </c>
      <c r="AY162" s="38">
        <f t="shared" si="2"/>
        <v>4011.745555170754</v>
      </c>
      <c r="AZ162" s="39">
        <f t="shared" si="3"/>
        <v>1.3566732347864312</v>
      </c>
      <c r="BA162" s="38">
        <f t="shared" si="4"/>
        <v>4205.055289972065</v>
      </c>
      <c r="BB162" s="39">
        <f t="shared" si="5"/>
        <v>1.4535431198768336</v>
      </c>
      <c r="BC162" s="38">
        <f t="shared" si="6"/>
        <v>4402.9134891216445</v>
      </c>
    </row>
    <row r="163" spans="48:55" ht="12.75">
      <c r="AV163" s="39">
        <f>Rechenwerte!D18</f>
        <v>1.3314245270131804</v>
      </c>
      <c r="AW163" s="38">
        <f>Rechenwerte!I18</f>
        <v>2663.981507485931</v>
      </c>
      <c r="AX163" s="39">
        <f t="shared" si="1"/>
        <v>1.541290318083633</v>
      </c>
      <c r="AY163" s="38">
        <f t="shared" si="2"/>
        <v>2937.039612003239</v>
      </c>
      <c r="AZ163" s="39">
        <f t="shared" si="3"/>
        <v>1.654024529206827</v>
      </c>
      <c r="BA163" s="38">
        <f t="shared" si="4"/>
        <v>3078.5636295884287</v>
      </c>
      <c r="BB163" s="39">
        <f t="shared" si="5"/>
        <v>1.7721260454545436</v>
      </c>
      <c r="BC163" s="38">
        <f t="shared" si="6"/>
        <v>3223.4176240579773</v>
      </c>
    </row>
    <row r="164" spans="48:55" ht="12.75">
      <c r="AV164" s="39">
        <f>Rechenwerte!D19</f>
        <v>1.4924021180300207</v>
      </c>
      <c r="AW164" s="38">
        <f>Rechenwerte!I19</f>
        <v>1663.9632682184988</v>
      </c>
      <c r="AX164" s="39">
        <f t="shared" si="1"/>
        <v>1.727642001884503</v>
      </c>
      <c r="AY164" s="38">
        <f t="shared" si="2"/>
        <v>1834.519503210895</v>
      </c>
      <c r="AZ164" s="39">
        <f t="shared" si="3"/>
        <v>1.8540064874720756</v>
      </c>
      <c r="BA164" s="38">
        <f t="shared" si="4"/>
        <v>1922.9175518350025</v>
      </c>
      <c r="BB164" s="39">
        <f t="shared" si="5"/>
        <v>1.9863872190979581</v>
      </c>
      <c r="BC164" s="38">
        <f t="shared" si="6"/>
        <v>2013.395554544384</v>
      </c>
    </row>
    <row r="165" ht="12.75">
      <c r="AW165" s="38"/>
    </row>
    <row r="166" spans="48:53" ht="12.75">
      <c r="AV166" s="1" t="s">
        <v>62</v>
      </c>
      <c r="AW166" s="1" t="s">
        <v>63</v>
      </c>
      <c r="AX166" s="1" t="s">
        <v>64</v>
      </c>
      <c r="AY166" s="1" t="s">
        <v>57</v>
      </c>
      <c r="AZ166" s="1"/>
      <c r="BA166" s="1"/>
    </row>
    <row r="167" spans="48:51" ht="12.75">
      <c r="AV167" s="38">
        <v>5000</v>
      </c>
      <c r="AW167" s="39">
        <v>0</v>
      </c>
      <c r="AX167" s="39">
        <v>0.96</v>
      </c>
      <c r="AY167">
        <f>AX167+AW167</f>
        <v>0.96</v>
      </c>
    </row>
    <row r="168" spans="48:51" ht="12.75">
      <c r="AV168" s="38">
        <v>4800</v>
      </c>
      <c r="AW168" s="39">
        <v>0.716</v>
      </c>
      <c r="AX168" s="39">
        <v>1.044</v>
      </c>
      <c r="AY168">
        <f aca="true" t="shared" si="7" ref="AY168:AY175">AX168+AW168</f>
        <v>1.76</v>
      </c>
    </row>
    <row r="169" spans="48:51" ht="12.75">
      <c r="AV169" s="38">
        <v>4600</v>
      </c>
      <c r="AW169" s="39">
        <v>0.811</v>
      </c>
      <c r="AX169" s="39">
        <v>1.111</v>
      </c>
      <c r="AY169">
        <f t="shared" si="7"/>
        <v>1.9220000000000002</v>
      </c>
    </row>
    <row r="170" spans="48:51" ht="12.75">
      <c r="AV170" s="38">
        <v>4500</v>
      </c>
      <c r="AW170" s="39">
        <v>0.855</v>
      </c>
      <c r="AX170" s="39">
        <v>1.144</v>
      </c>
      <c r="AY170">
        <f t="shared" si="7"/>
        <v>1.9989999999999999</v>
      </c>
    </row>
    <row r="171" spans="48:51" ht="12.75">
      <c r="AV171" s="38">
        <v>4300</v>
      </c>
      <c r="AW171" s="39">
        <v>0.922</v>
      </c>
      <c r="AX171" s="39">
        <v>1.2</v>
      </c>
      <c r="AY171">
        <f t="shared" si="7"/>
        <v>2.122</v>
      </c>
    </row>
    <row r="172" spans="48:51" ht="12.75">
      <c r="AV172" s="38">
        <v>4000</v>
      </c>
      <c r="AW172" s="39">
        <v>1.011</v>
      </c>
      <c r="AX172" s="39">
        <v>1.278</v>
      </c>
      <c r="AY172">
        <f t="shared" si="7"/>
        <v>2.2889999999999997</v>
      </c>
    </row>
    <row r="173" spans="48:51" ht="12.75">
      <c r="AV173" s="38"/>
      <c r="AW173" s="39"/>
      <c r="AX173" s="39"/>
      <c r="AY173">
        <f t="shared" si="7"/>
        <v>0</v>
      </c>
    </row>
    <row r="174" spans="48:51" ht="12.75">
      <c r="AV174" s="38"/>
      <c r="AW174" s="39"/>
      <c r="AX174" s="39"/>
      <c r="AY174">
        <f t="shared" si="7"/>
        <v>0</v>
      </c>
    </row>
    <row r="175" spans="48:51" ht="12.75">
      <c r="AV175" s="38"/>
      <c r="AW175" s="39"/>
      <c r="AX175" s="39"/>
      <c r="AY175">
        <f t="shared" si="7"/>
        <v>0</v>
      </c>
    </row>
    <row r="176" spans="48:49" ht="12.75">
      <c r="AV176" s="39"/>
      <c r="AW176" s="38"/>
    </row>
    <row r="177" spans="48:49" ht="12.75">
      <c r="AV177" s="39"/>
      <c r="AW177" s="38"/>
    </row>
    <row r="178" spans="48:49" ht="12.75">
      <c r="AV178" s="39"/>
      <c r="AW178" s="38"/>
    </row>
    <row r="179" spans="48:49" ht="12.75">
      <c r="AV179" s="39"/>
      <c r="AW179" s="38"/>
    </row>
  </sheetData>
  <printOptions/>
  <pageMargins left="0.75" right="0.75" top="1" bottom="1" header="0.4921259845" footer="0.4921259845"/>
  <pageSetup orientation="landscape" paperSize="9" r:id="rId13"/>
  <drawing r:id="rId12"/>
  <legacyDrawing r:id="rId11"/>
  <oleObjects>
    <oleObject progId="Equation.3" shapeId="84069" r:id="rId1"/>
    <oleObject progId="Equation.3" shapeId="85422" r:id="rId2"/>
    <oleObject progId="Equation.3" shapeId="106232" r:id="rId3"/>
    <oleObject progId="Equation.3" shapeId="108585" r:id="rId4"/>
    <oleObject progId="Equation.3" shapeId="120953" r:id="rId5"/>
    <oleObject progId="Equation.3" shapeId="121403" r:id="rId6"/>
    <oleObject progId="Equation.3" shapeId="137562" r:id="rId7"/>
    <oleObject progId="Equation.3" shapeId="139570" r:id="rId8"/>
    <oleObject progId="Equation.3" shapeId="265074" r:id="rId9"/>
    <oleObject progId="Equation.3" shapeId="266431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Ingo Falk</cp:lastModifiedBy>
  <cp:lastPrinted>2001-12-11T11:12:30Z</cp:lastPrinted>
  <dcterms:created xsi:type="dcterms:W3CDTF">2000-05-19T08:57:58Z</dcterms:created>
  <dcterms:modified xsi:type="dcterms:W3CDTF">2001-12-11T16:43:58Z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